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1+1WX+DFTgZo+9e/I72jJVrexV0YjmhWr0zxqLHF2DiScO1fxF3nDUB2IOqAivDfwKGHb7znTTJ14yQpRE4n3A==" workbookSaltValue="XEcjmycvi6ygLQiE5gzZY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M17" i="11"/>
  <c r="BH16" i="11"/>
  <c r="BJ16" i="11"/>
  <c r="T13" i="20"/>
  <c r="BF15" i="8"/>
  <c r="BF9" i="8"/>
  <c r="AU18" i="21"/>
  <c r="AH13" i="16"/>
  <c r="L16" i="2"/>
  <c r="U9" i="17"/>
  <c r="U19" i="17" s="1"/>
  <c r="AP13" i="16"/>
  <c r="T18" i="17"/>
  <c r="BG15" i="13"/>
  <c r="BE16" i="13"/>
  <c r="BE15" i="13"/>
  <c r="AX20" i="20"/>
  <c r="S19" i="8" l="1"/>
  <c r="AB13" i="21"/>
  <c r="C12" i="14"/>
  <c r="K12" i="14" s="1"/>
  <c r="BG10" i="8"/>
  <c r="B9" i="6"/>
  <c r="V9" i="16"/>
  <c r="L9" i="2"/>
  <c r="X10" i="21"/>
  <c r="L15" i="2"/>
  <c r="L10" i="2"/>
  <c r="BL16" i="11"/>
  <c r="AQ12" i="21"/>
  <c r="BF15" i="11"/>
  <c r="Q15" i="17"/>
  <c r="AQ10" i="21"/>
  <c r="BG12" i="11"/>
  <c r="BW10" i="20"/>
  <c r="BW12" i="20"/>
  <c r="BU11" i="17"/>
  <c r="BK17" i="11"/>
  <c r="BJ12" i="11"/>
  <c r="BM12" i="11"/>
  <c r="BF10" i="11"/>
  <c r="BM16" i="11"/>
  <c r="BH11" i="16"/>
  <c r="AL16" i="11"/>
  <c r="C16" i="6"/>
  <c r="BE9" i="13"/>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AO13" i="17"/>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<sst xmlns="http://schemas.openxmlformats.org/spreadsheetml/2006/main" count="2102" uniqueCount="918">
  <si>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</si>
  <si>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</si>
  <si>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</si>
  <si>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</si>
  <si>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</si>
  <si>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</si>
  <si>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</si>
  <si>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</si>
  <si>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</si>
  <si>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</si>
  <si>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</si>
  <si>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</si>
  <si>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</si>
  <si>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</si>
  <si>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</si>
  <si>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</si>
  <si>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</si>
  <si>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</si>
  <si>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</si>
  <si>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</si>
  <si>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</si>
  <si>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</si>
  <si>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</si>
  <si>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</si>
  <si>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</si>
  <si>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</si>
  <si>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</si>
  <si>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</si>
  <si>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</si>
  <si>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</si>
  <si>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</si>
  <si>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</si>
  <si>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</si>
  <si>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</si>
  <si>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</si>
  <si>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</si>
  <si>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</si>
  <si>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</si>
  <si>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</si>
  <si>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</si>
  <si>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</si>
  <si>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</si>
  <si>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</si>
  <si>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</si>
  <si>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</si>
  <si>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</si>
  <si>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</si>
  <si>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</si>
  <si>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</si>
  <si>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</si>
  <si>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</si>
  <si>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</si>
  <si>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</si>
  <si>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</si>
  <si>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</si>
  <si>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</si>
  <si>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</si>
  <si>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</si>
  <si>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</si>
  <si>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</si>
  <si>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</si>
  <si>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</si>
  <si>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</si>
  <si>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</si>
  <si>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</si>
  <si>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</si>
  <si>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</si>
  <si>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</si>
  <si>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</si>
  <si>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</si>
  <si>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</si>
  <si>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</si>
  <si>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</si>
  <si>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</si>
  <si>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</si>
  <si>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</si>
  <si>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</si>
  <si>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</si>
  <si>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</si>
  <si>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</si>
  <si>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</si>
  <si>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</si>
  <si>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</si>
  <si>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</si>
  <si>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</si>
  <si>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</si>
  <si>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</si>
  <si>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</si>
  <si>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</si>
  <si>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</si>
  <si>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</si>
  <si>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</si>
  <si>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</si>
  <si>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</si>
  <si>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</si>
  <si>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</si>
  <si>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</si>
  <si>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</si>
  <si>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</si>
  <si>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</si>
  <si>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</si>
  <si>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</si>
  <si>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</si>
  <si>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</si>
  <si>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</si>
  <si>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</si>
  <si>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</si>
  <si>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</si>
  <si>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</si>
  <si>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</si>
  <si>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</si>
  <si>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</si>
  <si>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</si>
  <si>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</si>
  <si>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</si>
  <si>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</si>
  <si>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</si>
  <si>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</si>
  <si>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</si>
  <si>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</si>
  <si>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</si>
  <si>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</si>
  <si>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</si>
  <si>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</si>
  <si>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</si>
  <si>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</si>
  <si>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</si>
  <si>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</si>
  <si>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</si>
  <si>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</si>
  <si>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</si>
  <si>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</si>
  <si>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</si>
  <si>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</si>
  <si>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</si>
  <si>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</si>
  <si>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</si>
  <si>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</si>
  <si>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</si>
  <si>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</si>
  <si>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</si>
  <si>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</si>
  <si>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</si>
  <si>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</si>
  <si>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</si>
  <si>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</si>
  <si>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</si>
  <si>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</si>
  <si>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</si>
  <si>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</si>
  <si>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</si>
  <si>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</si>
  <si>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</si>
  <si>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</si>
  <si>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</si>
  <si>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</si>
  <si>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</si>
  <si>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</si>
  <si>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</si>
  <si>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</si>
  <si>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</si>
  <si>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</si>
  <si>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</si>
  <si>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</si>
  <si>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</si>
  <si>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</si>
  <si>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</si>
  <si>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</si>
  <si>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</si>
  <si>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</si>
  <si>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</si>
  <si>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</si>
  <si>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</si>
  <si>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</si>
  <si>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</si>
  <si>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</si>
  <si>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</si>
  <si>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</si>
  <si>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</si>
  <si>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</si>
  <si>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</si>
  <si>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</si>
  <si>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</si>
  <si>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</si>
  <si>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</si>
  <si>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</si>
  <si>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</si>
  <si>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</si>
  <si>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</si>
  <si>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</si>
  <si>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</si>
  <si>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</si>
  <si>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</si>
  <si>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</si>
  <si>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</si>
  <si>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</si>
  <si>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</si>
  <si>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</si>
  <si>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</si>
  <si>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</si>
  <si>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</si>
  <si>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</si>
  <si>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</si>
  <si>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</si>
  <si>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</si>
  <si>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</si>
  <si>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</si>
  <si>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</si>
  <si>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</si>
  <si>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</si>
  <si>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</si>
  <si>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</si>
  <si>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</si>
  <si>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</si>
  <si>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</si>
  <si>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</si>
  <si>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</si>
  <si>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</si>
  <si>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</si>
  <si>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</si>
  <si>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</si>
  <si>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</si>
  <si>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</si>
  <si>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</si>
  <si>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</si>
  <si>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</si>
  <si>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</si>
  <si>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</si>
  <si>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</si>
  <si>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</si>
  <si>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</si>
  <si>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</si>
  <si>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</si>
  <si>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</si>
  <si>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</si>
  <si>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</si>
  <si>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</si>
  <si>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</si>
  <si>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</si>
  <si>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</si>
  <si>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</si>
  <si>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</si>
  <si>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</si>
  <si>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</si>
  <si>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</si>
  <si>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</si>
  <si>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</si>
  <si>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</si>
  <si>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</si>
  <si>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</si>
  <si>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</si>
  <si>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</si>
  <si>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</si>
  <si>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</si>
  <si>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</si>
  <si>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</si>
  <si>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</si>
  <si>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</si>
  <si>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</si>
  <si>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</si>
  <si>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</si>
  <si>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</si>
  <si>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</si>
  <si>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</si>
  <si>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</si>
  <si>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</si>
  <si>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</si>
  <si>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</si>
  <si>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</si>
  <si>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</si>
  <si>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</si>
  <si>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</si>
  <si>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</si>
  <si>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</si>
  <si>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</si>
  <si>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</si>
  <si>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</si>
  <si>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</si>
  <si>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</si>
  <si>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</si>
  <si>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</si>
  <si>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</si>
  <si>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</si>
  <si>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</si>
  <si>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</si>
  <si>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</si>
  <si>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</si>
  <si>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</si>
  <si>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</si>
  <si>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</si>
  <si>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</si>
  <si>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</si>
  <si>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</si>
  <si>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</si>
  <si>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</si>
  <si>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</si>
  <si>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</si>
  <si>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</si>
  <si>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</si>
  <si>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</si>
  <si>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</si>
  <si>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</si>
  <si>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</si>
  <si>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</si>
  <si>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</si>
  <si>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</si>
  <si>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</si>
  <si>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</si>
  <si>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</si>
  <si>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</si>
  <si>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</si>
  <si>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</si>
  <si>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</si>
  <si>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</si>
  <si>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</si>
  <si>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</si>
  <si>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</si>
  <si>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</si>
  <si>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</si>
  <si>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</si>
  <si>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</si>
  <si>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</si>
  <si>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</si>
  <si>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</si>
  <si>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</si>
  <si>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</si>
  <si>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</si>
  <si>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</si>
  <si>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</si>
  <si>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</si>
  <si>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</si>
  <si>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</si>
  <si>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</si>
  <si>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</si>
  <si>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</si>
  <si>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</si>
  <si>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</si>
  <si>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</si>
  <si>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</si>
  <si>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</si>
  <si>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</si>
  <si>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</si>
  <si>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</si>
  <si>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</si>
  <si>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</si>
  <si>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</si>
  <si>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</si>
  <si>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</si>
  <si>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</si>
  <si>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</si>
  <si>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</si>
  <si>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</si>
  <si>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</si>
  <si>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</si>
  <si>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</si>
  <si>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</si>
  <si>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</si>
  <si>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</si>
  <si>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</si>
  <si>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</si>
  <si>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</si>
  <si>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</si>
  <si>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</si>
  <si>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</si>
  <si>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</si>
  <si>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</si>
  <si>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</si>
  <si>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</si>
  <si>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</si>
  <si>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</si>
  <si>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</si>
  <si>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</si>
  <si>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</si>
  <si>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</si>
  <si>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</si>
  <si>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</si>
  <si>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</si>
  <si>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</si>
  <si>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</si>
  <si>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</si>
  <si>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</si>
  <si>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</si>
  <si>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</si>
  <si>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</si>
  <si>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</si>
  <si>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</si>
  <si>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</si>
  <si>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</si>
  <si>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</si>
  <si>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</si>
  <si>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</si>
  <si>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</si>
  <si>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</si>
  <si>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</si>
  <si>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</si>
  <si>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</si>
  <si>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</si>
  <si>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</si>
  <si>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</si>
  <si>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</si>
  <si>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</si>
  <si>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</si>
  <si>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</si>
  <si>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</si>
  <si>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</si>
  <si>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</si>
  <si>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</si>
  <si>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</si>
  <si>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</si>
  <si>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</si>
  <si>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</si>
  <si>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</si>
  <si>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</si>
  <si>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</si>
  <si>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</si>
  <si>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</si>
  <si>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</si>
  <si>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</si>
  <si>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</si>
  <si>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</si>
  <si>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</si>
  <si>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</si>
  <si>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</si>
  <si>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</si>
  <si>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</si>
  <si>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</si>
  <si>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</si>
  <si>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</si>
  <si>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</si>
  <si>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</si>
  <si>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</si>
  <si>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</si>
  <si>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</si>
  <si>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</si>
  <si>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</si>
  <si>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</si>
  <si>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</si>
  <si>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</si>
  <si>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</si>
  <si>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</si>
  <si>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</si>
  <si>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</si>
  <si>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</si>
  <si>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</si>
  <si>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</si>
  <si>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</si>
  <si>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</si>
  <si>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</si>
  <si>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</si>
  <si>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</si>
  <si>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</si>
  <si>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</si>
  <si>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</si>
  <si>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</si>
  <si>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</si>
  <si>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</si>
  <si>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</si>
  <si>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</si>
  <si>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</si>
  <si>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</si>
  <si>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</si>
  <si>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</si>
  <si>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</si>
  <si>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</si>
  <si>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</si>
  <si>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</si>
  <si>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</si>
  <si>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</si>
  <si>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</si>
  <si>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</si>
  <si>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</si>
  <si>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</si>
  <si>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</si>
  <si>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</si>
  <si>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</si>
  <si>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</si>
  <si>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</si>
  <si>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</si>
  <si>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</si>
  <si>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</si>
  <si>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</si>
  <si>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</si>
  <si>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</si>
  <si>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</si>
  <si>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</si>
  <si>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</si>
  <si>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</si>
  <si>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</si>
  <si>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</si>
  <si>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</si>
  <si>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</si>
  <si>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</si>
  <si>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</si>
  <si>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</si>
  <si>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</si>
  <si>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</si>
  <si>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</si>
  <si>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</si>
  <si>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</si>
  <si>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</si>
  <si>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</si>
  <si>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</si>
  <si>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</si>
  <si>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</si>
  <si>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</si>
  <si>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</si>
  <si>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</si>
  <si>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</si>
  <si>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</si>
  <si>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</si>
  <si>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</si>
  <si>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</si>
  <si>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</si>
  <si>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</si>
  <si>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</si>
  <si>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</si>
  <si>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</si>
  <si>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</si>
  <si>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</si>
  <si>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</si>
  <si>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</si>
  <si>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</si>
  <si>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</si>
  <si>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</si>
  <si>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</si>
  <si>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</si>
  <si>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</si>
  <si>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</si>
  <si>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</si>
  <si>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</si>
  <si>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</si>
  <si>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</si>
  <si>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</si>
  <si>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</si>
  <si>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</si>
  <si>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</si>
  <si>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</si>
  <si>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</si>
  <si>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</si>
  <si>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</si>
  <si>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</si>
  <si>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</si>
  <si>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</si>
  <si>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</si>
  <si>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</si>
  <si>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</si>
  <si>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</si>
  <si>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</si>
  <si>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</si>
  <si>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</si>
  <si>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</si>
  <si>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</si>
  <si>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</si>
  <si>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</si>
  <si>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</si>
  <si>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</si>
  <si>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</si>
  <si>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</si>
  <si>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</si>
  <si>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</si>
  <si>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</si>
  <si>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</si>
  <si>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</si>
  <si>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</si>
  <si>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</si>
  <si>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</si>
  <si>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</si>
  <si>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</si>
  <si>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</si>
  <si>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</si>
  <si>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</si>
  <si>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</si>
  <si>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</si>
  <si>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</si>
  <si>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</si>
  <si>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</si>
  <si>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</si>
  <si>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</si>
  <si>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</si>
  <si>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</si>
  <si>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</si>
  <si>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</si>
  <si>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</si>
  <si>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</si>
  <si>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</si>
  <si>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</si>
  <si>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</si>
  <si>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</si>
  <si>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</si>
  <si>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</si>
  <si>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</si>
  <si>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</si>
  <si>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</si>
  <si>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</si>
  <si>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</si>
  <si>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</si>
  <si>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</si>
  <si>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</si>
  <si>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</si>
  <si>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</si>
  <si>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</si>
  <si>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</si>
  <si>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</si>
  <si>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</si>
  <si>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</si>
  <si>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</si>
  <si>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</si>
  <si>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</si>
  <si>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</si>
  <si>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</si>
  <si>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</si>
  <si>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</si>
  <si>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</si>
  <si>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</si>
  <si>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</si>
  <si>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</si>
  <si>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</si>
  <si>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</si>
  <si>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</si>
  <si>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</si>
  <si>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</si>
  <si>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</si>
  <si>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</si>
  <si>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</si>
  <si>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</si>
  <si>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</si>
  <si>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</si>
  <si>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</si>
  <si>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</si>
  <si>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</si>
  <si>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</si>
  <si>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</si>
  <si>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</si>
  <si>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</si>
  <si>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</si>
  <si>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</si>
  <si>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</si>
  <si>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</si>
  <si>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</si>
  <si>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</si>
  <si>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</si>
  <si>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</si>
  <si>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</si>
  <si>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</si>
  <si>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</si>
  <si>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</si>
  <si>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</si>
  <si>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</si>
  <si>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</si>
  <si>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</si>
  <si>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</si>
  <si>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</si>
  <si>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</si>
  <si>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</si>
  <si>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</si>
  <si>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</si>
  <si>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</si>
  <si>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</si>
  <si>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</si>
  <si>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</si>
  <si>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</si>
  <si>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</si>
  <si>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</si>
  <si>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</si>
  <si>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</si>
  <si>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</si>
  <si>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</si>
  <si>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</si>
  <si>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</si>
  <si>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</si>
  <si>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</si>
  <si>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</si>
  <si>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</si>
  <si>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</si>
  <si>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</si>
  <si>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</si>
  <si>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</si>
  <si>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</si>
  <si>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</si>
  <si>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</si>
  <si>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</si>
  <si>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</si>
  <si>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</si>
  <si>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</si>
  <si>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</si>
  <si>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</si>
  <si>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</si>
  <si>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</si>
  <si>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</si>
  <si>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</si>
  <si>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</si>
  <si>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</si>
  <si>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</si>
  <si>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</si>
  <si>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</si>
  <si>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</si>
  <si>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</si>
  <si>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</si>
  <si>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</si>
  <si>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</si>
  <si>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</si>
  <si>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</si>
  <si>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</si>
  <si>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</si>
  <si>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</si>
  <si>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</si>
  <si>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</si>
  <si>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</si>
  <si>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</si>
  <si>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</si>
  <si>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</si>
  <si>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</si>
  <si>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</si>
  <si>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</si>
  <si>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</si>
  <si>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</si>
  <si>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</si>
  <si>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</si>
  <si>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</si>
  <si>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</si>
  <si>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</si>
  <si>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</si>
  <si>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</si>
  <si>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</si>
  <si>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</si>
  <si>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</si>
  <si>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</si>
  <si>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</si>
  <si>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</si>
  <si>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</si>
  <si>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</si>
  <si>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</si>
  <si>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</si>
  <si>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</si>
  <si>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</si>
  <si>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</si>
  <si>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</si>
  <si>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</si>
  <si>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</si>
  <si>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</si>
  <si>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</si>
  <si>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</si>
  <si>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</si>
  <si>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</si>
  <si>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</si>
  <si>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</si>
  <si>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</si>
  <si>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</si>
  <si>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</si>
  <si>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</si>
  <si>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</si>
  <si>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</si>
  <si>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</si>
  <si>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</si>
  <si>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</si>
  <si>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</si>
  <si>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</si>
  <si>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</si>
  <si>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</si>
  <si>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</si>
  <si>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</si>
  <si>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</si>
  <si>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</si>
  <si>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</si>
  <si>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</si>
  <si>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</si>
  <si>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</si>
  <si>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</si>
  <si>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</si>
  <si>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</si>
  <si>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</si>
  <si>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</si>
  <si>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</si>
  <si>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</si>
  <si>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</si>
  <si>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</si>
  <si>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</si>
  <si>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</si>
  <si>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</si>
  <si>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</si>
  <si>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</si>
  <si>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</si>
  <si>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</si>
  <si>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</si>
  <si>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</si>
  <si>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</si>
  <si>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</si>
  <si>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</si>
  <si>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</si>
  <si>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</si>
  <si>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</si>
  <si>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</si>
  <si>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</si>
  <si>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</si>
  <si>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</si>
  <si>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</si>
  <si>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</si>
  <si>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</si>
  <si>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</si>
  <si>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</si>
  <si>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</si>
  <si>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</si>
  <si>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</si>
  <si>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</si>
  <si>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</si>
  <si>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</si>
  <si>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</si>
  <si>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</si>
  <si>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</si>
  <si>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</si>
  <si>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</si>
  <si>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</si>
  <si>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</si>
  <si>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</si>
  <si>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</si>
  <si>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</si>
  <si>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</si>
  <si>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</si>
  <si>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</si>
  <si>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</si>
  <si>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</si>
  <si>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</si>
  <si>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</si>
  <si>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</si>
  <si>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</si>
  <si>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</si>
  <si>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</si>
  <si>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</si>
  <si>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</si>
  <si>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</si>
  <si>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</si>
  <si>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</si>
  <si>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</si>
  <si>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</si>
  <si>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</si>
  <si>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</si>
  <si>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</si>
  <si>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</si>
  <si>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</si>
  <si>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</si>
  <si>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</si>
  <si>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</si>
  <si>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</si>
  <si>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</si>
  <si>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</si>
  <si>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</si>
  <si>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</si>
  <si>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</si>
  <si>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</si>
  <si>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</si>
  <si>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</si>
  <si>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</si>
  <si>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</si>
  <si>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</si>
  <si>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</si>
  <si>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</si>
  <si>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</si>
  <si>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</si>
  <si>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</si>
  <si>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</si>
  <si>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</si>
  <si>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</si>
  <si>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</si>
  <si>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</si>
  <si>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</si>
  <si>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</si>
  <si>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</si>
  <si>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</si>
  <si>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</si>
  <si>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</si>
  <si>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</si>
  <si>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</si>
  <si>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</si>
  <si>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</si>
  <si>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</si>
  <si>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</si>
  <si>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</si>
  <si>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</si>
  <si>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</si>
  <si>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</si>
  <si>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</si>
  <si>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</si>
  <si>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</si>
  <si>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</si>
  <si>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</si>
  <si>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</si>
  <si>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</si>
  <si>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</si>
  <si>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</si>
  <si>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</si>
  <si>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</si>
  <si>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</si>
  <si>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</si>
  <si>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</si>
  <si>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</si>
  <si>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</si>
  <si>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</si>
  <si>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</si>
  <si>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</si>
  <si>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</si>
  <si>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</si>
  <si>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</si>
  <si>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</si>
  <si>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</si>
  <si>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</si>
  <si>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</si>
  <si>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</si>
  <si>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</si>
  <si>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</si>
  <si>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</si>
  <si>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</si>
  <si>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</si>
  <si>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</si>
  <si>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REGION DE MURCIA</t>
  </si>
  <si>
    <t>Provincias</t>
  </si>
  <si>
    <t>MURCIA</t>
  </si>
  <si>
    <t>Resumenes por Partidos Judiciales</t>
  </si>
  <si>
    <t>LORCA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</si>
</sst>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65JzGGtMfm8G0H8Sw/OueacPpELvAx6MBm3O+6Glqh9r7SCfbINq5QvxwQNPjOup1CSUwF/k48j2pSV8Ijp0A==" saltValue="m8TYFMAjCSWBpfyT1XNs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238</v>
      </c>
      <c r="D10" s="225">
        <f>IF(ISNUMBER(Datos!I10),Datos!I10," - ")</f>
        <v>238</v>
      </c>
      <c r="E10" s="226">
        <f>IF(ISNUMBER(Datos!J10),Datos!J10," - ")</f>
        <v>28</v>
      </c>
      <c r="F10" s="226">
        <f>IF(ISNUMBER(Datos!K10),Datos!K10," - ")</f>
        <v>9</v>
      </c>
      <c r="G10" s="1034" t="str">
        <f>IF(Datos!E10&lt;&gt;"",Datos!E10,Datos!D10)</f>
        <v>37</v>
      </c>
      <c r="H10" s="227">
        <f>IF(ISNUMBER(Datos!L10),Datos!L10," - ")</f>
        <v>257</v>
      </c>
      <c r="I10" s="1044" t="str">
        <f>IF(ISNUMBER(Datos!AS10/Datos!BM10),Datos!AS10/Datos!BM10," - ")</f>
        <v xml:space="preserve"> - </v>
      </c>
      <c r="J10" s="1045">
        <f>IF(ISNUMBER(Datos!BY10/Datos!CN10),Datos!BY10/Datos!CN10," - ")</f>
        <v>0</v>
      </c>
      <c r="K10" s="230">
        <f t="shared" ref="K10:K12" si="1">IF(ISNUMBER((E10-F10)/C10),(E10-F10)/C10," - ")</f>
        <v>7.9831932773109238E-2</v>
      </c>
      <c r="L10" s="1025">
        <f>IF(ISNUMBER(NºAsuntos!I10/NºAsuntos!G10),(NºAsuntos!I10/NºAsuntos!G10)*11," - ")</f>
        <v>314.11111111111114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75.678189300411518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238</v>
      </c>
      <c r="D13" s="1049">
        <f>SUBTOTAL(9,D9:D12)</f>
        <v>238</v>
      </c>
      <c r="E13" s="1050">
        <f>SUBTOTAL(9,E9:E12)</f>
        <v>28</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4880</v>
      </c>
      <c r="D16" s="225">
        <f>IF(ISNUMBER(IF(D_I="SI",Datos!I16,Datos!I16+Datos!AC16)),IF(D_I="SI",Datos!I16,Datos!I16+Datos!AC16)," - ")</f>
        <v>4885</v>
      </c>
      <c r="E16" s="226">
        <f>IF(ISNUMBER(IF(D_I="SI",Datos!J16,Datos!J16+Datos!AD16)),IF(D_I="SI",Datos!J16,Datos!J16+Datos!AD16)," - ")</f>
        <v>1973</v>
      </c>
      <c r="F16" s="226">
        <f>IF(ISNUMBER(IF(D_I="SI",Datos!K16,Datos!K16+Datos!AE16)),IF(D_I="SI",Datos!K16,Datos!K16+Datos!AE16)," - ")</f>
        <v>1602</v>
      </c>
      <c r="G16" s="1034" t="str">
        <f>IF(Datos!E16&lt;&gt;"",Datos!E16,Datos!D16)</f>
        <v>04</v>
      </c>
      <c r="H16" s="227">
        <f>IF(ISNUMBER(IF(D_I="SI",Datos!L16,Datos!L16+Datos!AF16)),IF(D_I="SI",Datos!L16,Datos!L16+Datos!AF16)," - ")</f>
        <v>5251</v>
      </c>
      <c r="I16" s="1044" t="str">
        <f>IF(ISNUMBER(Datos!AS16/Datos!BM16),Datos!AS16/Datos!BM16," - ")</f>
        <v xml:space="preserve"> - </v>
      </c>
      <c r="J16" s="1045">
        <f>IF(ISNUMBER(Datos!BY16/Datos!CN16),Datos!BY16/Datos!CN16," - ")</f>
        <v>0</v>
      </c>
      <c r="K16" s="230">
        <f t="shared" si="3"/>
        <v>7.6024590163934425E-2</v>
      </c>
      <c r="L16" s="1025">
        <f>IF(ISNUMBER(NºAsuntos!I16/NºAsuntos!G16),(NºAsuntos!I16/NºAsuntos!G16)*11," - ")</f>
        <v>36.055555555555557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693</v>
      </c>
      <c r="D17" s="225">
        <f>IF(ISNUMBER(IF(D_I="SI",Datos!I17,Datos!I17+Datos!AC17)),IF(D_I="SI",Datos!I17,Datos!I17+Datos!AC17)," - ")</f>
        <v>693</v>
      </c>
      <c r="E17" s="226">
        <f>IF(ISNUMBER(IF(D_I="SI",Datos!J17,Datos!J17+Datos!AD17)),IF(D_I="SI",Datos!J17,Datos!J17+Datos!AD17)," - ")</f>
        <v>102</v>
      </c>
      <c r="F17" s="226">
        <f>IF(ISNUMBER(IF(D_I="SI",Datos!K17,Datos!K17+Datos!AE17)),IF(D_I="SI",Datos!K17,Datos!K17+Datos!AE17)," - ")</f>
        <v>74</v>
      </c>
      <c r="G17" s="1034" t="str">
        <f>IF(Datos!E17&lt;&gt;"",Datos!E17,Datos!D17)</f>
        <v>37</v>
      </c>
      <c r="H17" s="227">
        <f>IF(ISNUMBER(IF(D_I="SI",Datos!L17,Datos!L17+Datos!AF17)),IF(D_I="SI",Datos!L17,Datos!L17+Datos!AF17)," - ")</f>
        <v>721</v>
      </c>
      <c r="I17" s="1044" t="str">
        <f>IF(ISNUMBER(Datos!AS17/Datos!BM17),Datos!AS17/Datos!BM17," - ")</f>
        <v xml:space="preserve"> - </v>
      </c>
      <c r="J17" s="1045" t="str">
        <f>IF(ISNUMBER((Datos!BY17+Datos!BZ17)/Datos!CN17),(Datos!BY17+Datos!BZ17)/Datos!CN17," - ")</f>
        <v xml:space="preserve"> - </v>
      </c>
      <c r="K17" s="230">
        <f t="shared" si="3"/>
        <v>4.0404040404040407E-2</v>
      </c>
      <c r="L17" s="1025">
        <f>IF(ISNUMBER(NºAsuntos!I17/NºAsuntos!G17),(NºAsuntos!I17/NºAsuntos!G17)*11," - ")</f>
        <v>107.17567567567568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5573</v>
      </c>
      <c r="D18" s="1049">
        <f>SUBTOTAL(9,D15:D17)</f>
        <v>5578</v>
      </c>
      <c r="E18" s="1050">
        <f>SUBTOTAL(9,E15:E17)</f>
        <v>2075</v>
      </c>
      <c r="F18" s="1050">
        <f>SUBTOTAL(9,F15:F17)</f>
        <v>1676</v>
      </c>
      <c r="G18" s="1052" t="str">
        <f ca="1">INDIRECT(CONCATENATE("G",ROW()-1))</f>
        <v>37</v>
      </c>
      <c r="H18" s="1053">
        <f ca="1">SUMIF(G$14:G17,G18,H$14:H17)</f>
        <v>721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5811</v>
      </c>
      <c r="D19" s="1071">
        <f>SUBTOTAL(9,D9:D18)</f>
        <v>5816</v>
      </c>
      <c r="E19" s="1072">
        <f>SUBTOTAL(9,E9:E18)</f>
        <v>2103</v>
      </c>
      <c r="F19" s="1072">
        <f>SUBTOTAL(9,F9:F18)</f>
        <v>1685</v>
      </c>
      <c r="G19" s="1073"/>
      <c r="H19" s="1074">
        <f ca="1">SUMIF(B9:B18,"TOTAL",H9:H18)</f>
        <v>721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7qqY1q9O75xhhRBaCYDoZBUnpHGFGKVGElLIN0puc1fj7VgHBPnyE8ExxzRYqVQQR7hphzUW/JI2Zi0E6Vjvg==" saltValue="nw6h6xQNeSfD2s2GKJ3Vg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Phcx7UJKrGUQ4unOCbLl05PeZkPV71VmOygp2pkI7oDQ98l7zxQ9ERhjZ2mYCs3tHPvxXjWkd9oPGtWmWMuCg==" saltValue="bGK9T7PT7gxO8RfOLltd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238</v>
      </c>
      <c r="J10" s="181">
        <v>28</v>
      </c>
      <c r="K10" s="181">
        <v>9</v>
      </c>
      <c r="L10" s="181">
        <v>257</v>
      </c>
      <c r="M10" s="181">
        <v>5</v>
      </c>
      <c r="N10" s="181">
        <v>1</v>
      </c>
      <c r="O10" s="181">
        <v>0</v>
      </c>
      <c r="P10" s="181">
        <v>5</v>
      </c>
      <c r="Q10" s="181">
        <v>0</v>
      </c>
      <c r="R10" s="181">
        <v>54</v>
      </c>
      <c r="S10" s="181">
        <v>169</v>
      </c>
      <c r="T10" s="181">
        <v>10</v>
      </c>
      <c r="U10" s="181">
        <v>9</v>
      </c>
      <c r="V10" s="181">
        <v>168</v>
      </c>
      <c r="W10" s="181">
        <v>5</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169</v>
      </c>
      <c r="AZ10" s="129">
        <f t="shared" si="0"/>
        <v>10</v>
      </c>
      <c r="BA10" s="129">
        <f t="shared" si="0"/>
        <v>9</v>
      </c>
      <c r="BB10" s="129">
        <f t="shared" si="0"/>
        <v>168</v>
      </c>
      <c r="BC10" s="125">
        <f t="shared" si="0"/>
        <v>5</v>
      </c>
      <c r="BD10" s="126">
        <f>IF(ISNUMBER(BA10/AZ10),BA10/AZ10," - ")</f>
        <v>0.9</v>
      </c>
      <c r="BE10" s="127">
        <f>IF(ISNUMBER(BB10/BA10),BB10/BA10, " - ")</f>
        <v>18.666666666666668</v>
      </c>
      <c r="BF10" s="127">
        <f>IF(ISNUMBER(BC10/BA10),BC10/BA10, " - ")</f>
        <v>0.55555555555555558</v>
      </c>
      <c r="BG10" s="196">
        <f>IF(ISNUMBER((AY10+AZ10)/BA10),(AY10+AZ10)/BA10," - ")</f>
        <v>19.888888888888889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7714</v>
      </c>
      <c r="J12" s="183">
        <v>1676</v>
      </c>
      <c r="K12" s="183">
        <v>1173</v>
      </c>
      <c r="L12" s="183">
        <v>8173</v>
      </c>
      <c r="M12" s="183">
        <v>183</v>
      </c>
      <c r="N12" s="183">
        <v>685</v>
      </c>
      <c r="O12" s="181">
        <v>530</v>
      </c>
      <c r="P12" s="183">
        <v>322</v>
      </c>
      <c r="Q12" s="183">
        <v>760</v>
      </c>
      <c r="R12" s="183">
        <v>7089</v>
      </c>
      <c r="S12" s="183">
        <v>4030</v>
      </c>
      <c r="T12" s="183">
        <v>2212</v>
      </c>
      <c r="U12" s="183">
        <v>685</v>
      </c>
      <c r="V12" s="183">
        <v>5552</v>
      </c>
      <c r="W12" s="183">
        <v>166</v>
      </c>
      <c r="X12" s="189">
        <v>400</v>
      </c>
      <c r="Y12" s="191">
        <v>200</v>
      </c>
      <c r="Z12" s="181">
        <v>33</v>
      </c>
      <c r="AA12" s="181">
        <v>42</v>
      </c>
      <c r="AB12" s="181">
        <v>186</v>
      </c>
      <c r="AC12" s="183">
        <v>0</v>
      </c>
      <c r="AD12" s="183">
        <v>0</v>
      </c>
      <c r="AE12" s="183">
        <v>0</v>
      </c>
      <c r="AF12" s="189">
        <v>0</v>
      </c>
      <c r="AG12" s="202">
        <v>199</v>
      </c>
      <c r="AH12" s="183">
        <v>118</v>
      </c>
      <c r="AI12" s="183">
        <v>50</v>
      </c>
      <c r="AJ12" s="203">
        <v>276</v>
      </c>
      <c r="AK12" s="182">
        <v>0</v>
      </c>
      <c r="AL12" s="183">
        <v>0</v>
      </c>
      <c r="AM12" s="183">
        <v>0</v>
      </c>
      <c r="AN12" s="189">
        <v>0</v>
      </c>
      <c r="AO12" s="259">
        <v>8</v>
      </c>
      <c r="AP12" s="155">
        <v>8</v>
      </c>
      <c r="AQ12" s="155">
        <v>8</v>
      </c>
      <c r="AR12" s="154">
        <v>8</v>
      </c>
      <c r="AS12" s="340" t="s">
        <v>802</v>
      </c>
      <c r="AT12" s="203"/>
      <c r="AU12" s="202"/>
      <c r="AV12" s="203"/>
      <c r="AW12" s="202"/>
      <c r="AX12" s="203"/>
      <c r="AY12" s="126">
        <f t="shared" si="1"/>
        <v>4229</v>
      </c>
      <c r="AZ12" s="127">
        <f t="shared" si="1"/>
        <v>2330</v>
      </c>
      <c r="BA12" s="127">
        <f t="shared" si="1"/>
        <v>735</v>
      </c>
      <c r="BB12" s="127">
        <f t="shared" si="1"/>
        <v>5828</v>
      </c>
      <c r="BC12" s="125">
        <f>IF(ISNUMBER(X12),X12," - ")</f>
        <v>400</v>
      </c>
      <c r="BD12" s="126">
        <f t="shared" si="2"/>
        <v>0.31545064377682402</v>
      </c>
      <c r="BE12" s="127">
        <f t="shared" si="3"/>
        <v>7.9292517006802719</v>
      </c>
      <c r="BF12" s="127">
        <f t="shared" si="4"/>
        <v>0.54421768707482998</v>
      </c>
      <c r="BG12" s="196">
        <f t="shared" si="5"/>
        <v>8.9238095238095241</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7952</v>
      </c>
      <c r="J13" s="184">
        <f t="shared" si="6"/>
        <v>1704</v>
      </c>
      <c r="K13" s="184">
        <f t="shared" si="6"/>
        <v>1182</v>
      </c>
      <c r="L13" s="184">
        <f t="shared" si="6"/>
        <v>8430</v>
      </c>
      <c r="M13" s="184">
        <f t="shared" si="6"/>
        <v>188</v>
      </c>
      <c r="N13" s="184">
        <f t="shared" si="6"/>
        <v>686</v>
      </c>
      <c r="O13" s="184">
        <f t="shared" si="6"/>
        <v>530</v>
      </c>
      <c r="P13" s="184">
        <f t="shared" si="6"/>
        <v>327</v>
      </c>
      <c r="Q13" s="184">
        <f t="shared" si="6"/>
        <v>760</v>
      </c>
      <c r="R13" s="184">
        <f t="shared" si="6"/>
        <v>7143</v>
      </c>
      <c r="S13" s="184">
        <f t="shared" si="6"/>
        <v>4199</v>
      </c>
      <c r="T13" s="184">
        <f t="shared" si="6"/>
        <v>2222</v>
      </c>
      <c r="U13" s="184">
        <f t="shared" si="6"/>
        <v>694</v>
      </c>
      <c r="V13" s="184">
        <f t="shared" si="6"/>
        <v>5720</v>
      </c>
      <c r="W13" s="184">
        <f t="shared" si="6"/>
        <v>171</v>
      </c>
      <c r="X13" s="184">
        <f t="shared" si="6"/>
        <v>403</v>
      </c>
      <c r="Y13" s="184">
        <f t="shared" si="6"/>
        <v>200</v>
      </c>
      <c r="Z13" s="184">
        <f t="shared" si="6"/>
        <v>33</v>
      </c>
      <c r="AA13" s="184">
        <f t="shared" si="6"/>
        <v>42</v>
      </c>
      <c r="AB13" s="184">
        <f t="shared" si="6"/>
        <v>186</v>
      </c>
      <c r="AC13" s="184">
        <f t="shared" si="6"/>
        <v>0</v>
      </c>
      <c r="AD13" s="184">
        <f t="shared" si="6"/>
        <v>0</v>
      </c>
      <c r="AE13" s="184">
        <f t="shared" si="6"/>
        <v>0</v>
      </c>
      <c r="AF13" s="184">
        <f>SUBTOTAL(9,AF9:AF12)</f>
        <v>0</v>
      </c>
      <c r="AG13" s="184">
        <f t="shared" ref="AG13:AT13" si="7">SUBTOTAL(9,AG8:AG12)</f>
        <v>199</v>
      </c>
      <c r="AH13" s="184">
        <f t="shared" si="7"/>
        <v>118</v>
      </c>
      <c r="AI13" s="184">
        <f t="shared" si="7"/>
        <v>50</v>
      </c>
      <c r="AJ13" s="184">
        <f t="shared" si="7"/>
        <v>276</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4398</v>
      </c>
      <c r="AZ13" s="184">
        <f>SUBTOTAL(9,AZ8:AZ12)</f>
        <v>2340</v>
      </c>
      <c r="BA13" s="184">
        <f>SUBTOTAL(9,BA8:BA12)</f>
        <v>744</v>
      </c>
      <c r="BB13" s="184">
        <f>SUBTOTAL(9,BB8:BB12)</f>
        <v>5996</v>
      </c>
      <c r="BC13" s="184">
        <f>SUBTOTAL(9,BC8:BC12)</f>
        <v>405</v>
      </c>
      <c r="BD13" s="205">
        <f>IF(ISNUMBER(BA13/AZ13),BA13/AZ13," - ")</f>
        <v>0.31794871794871793</v>
      </c>
      <c r="BE13" s="206">
        <f>IF(ISNUMBER(BB13/BA13),BB13/BA13, " - ")</f>
        <v>8.0591397849462361</v>
      </c>
      <c r="BF13" s="206">
        <f>IF(ISNUMBER(BC13/BA13),BC13/BA13, " - ")</f>
        <v>0.54435483870967738</v>
      </c>
      <c r="BG13" s="207">
        <f>IF(ISNUMBER((AY13+AZ13)/BA13),(AY13+AZ13)/BA13," - ")</f>
        <v>9.056451612903226</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4885</v>
      </c>
      <c r="J16" s="183">
        <v>1973</v>
      </c>
      <c r="K16" s="183">
        <v>1602</v>
      </c>
      <c r="L16" s="183">
        <v>5251</v>
      </c>
      <c r="M16" s="183">
        <v>178</v>
      </c>
      <c r="N16" s="183">
        <v>1018</v>
      </c>
      <c r="O16" s="181">
        <v>7</v>
      </c>
      <c r="P16" s="183">
        <v>22</v>
      </c>
      <c r="Q16" s="183">
        <v>11</v>
      </c>
      <c r="R16" s="183">
        <v>225</v>
      </c>
      <c r="S16" s="183">
        <v>4114</v>
      </c>
      <c r="T16" s="183">
        <v>2229</v>
      </c>
      <c r="U16" s="183">
        <v>1371</v>
      </c>
      <c r="V16" s="183">
        <v>4891</v>
      </c>
      <c r="W16" s="183">
        <v>114</v>
      </c>
      <c r="X16" s="189">
        <v>998</v>
      </c>
      <c r="Y16" s="202">
        <v>0</v>
      </c>
      <c r="Z16" s="183">
        <v>0</v>
      </c>
      <c r="AA16" s="183">
        <v>0</v>
      </c>
      <c r="AB16" s="183">
        <v>0</v>
      </c>
      <c r="AC16" s="183">
        <v>6</v>
      </c>
      <c r="AD16" s="183">
        <v>77</v>
      </c>
      <c r="AE16" s="183">
        <v>68</v>
      </c>
      <c r="AF16" s="189">
        <v>15</v>
      </c>
      <c r="AG16" s="202">
        <v>0</v>
      </c>
      <c r="AH16" s="183">
        <v>0</v>
      </c>
      <c r="AI16" s="183">
        <v>0</v>
      </c>
      <c r="AJ16" s="203">
        <v>0</v>
      </c>
      <c r="AK16" s="182">
        <v>2</v>
      </c>
      <c r="AL16" s="183">
        <v>77</v>
      </c>
      <c r="AM16" s="183">
        <v>75</v>
      </c>
      <c r="AN16" s="189">
        <v>3</v>
      </c>
      <c r="AO16" s="259">
        <v>8</v>
      </c>
      <c r="AP16" s="155">
        <v>8</v>
      </c>
      <c r="AQ16" s="155">
        <v>8</v>
      </c>
      <c r="AR16" s="155">
        <v>8</v>
      </c>
      <c r="AS16" s="340" t="s">
        <v>487</v>
      </c>
      <c r="AT16" s="203"/>
      <c r="AU16" s="202"/>
      <c r="AV16" s="203"/>
      <c r="AW16" s="202"/>
      <c r="AX16" s="203"/>
      <c r="AY16" s="126">
        <f t="shared" si="9"/>
        <v>4114</v>
      </c>
      <c r="AZ16" s="127">
        <f t="shared" si="9"/>
        <v>2229</v>
      </c>
      <c r="BA16" s="127">
        <f t="shared" si="9"/>
        <v>1371</v>
      </c>
      <c r="BB16" s="127">
        <f t="shared" si="9"/>
        <v>4891</v>
      </c>
      <c r="BC16" s="125">
        <f>IF(ISNUMBER(W16),W16," - ")</f>
        <v>114</v>
      </c>
      <c r="BD16" s="126">
        <f t="shared" ref="BD16" si="11">IF(ISNUMBER(BA16/AZ16),BA16/AZ16," - ")</f>
        <v>0.61507402422611035</v>
      </c>
      <c r="BE16" s="127">
        <f t="shared" ref="BE16" si="12">IF(ISNUMBER(BB16/BA16),BB16/BA16, " - ")</f>
        <v>3.5674690007293948</v>
      </c>
      <c r="BF16" s="127">
        <f t="shared" ref="BF16" si="13">IF(ISNUMBER(BC16/BA16),BC16/BA16, " - ")</f>
        <v>8.3150984682713341E-2</v>
      </c>
      <c r="BG16" s="196">
        <f t="shared" si="10"/>
        <v>4.6265499635302696</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693</v>
      </c>
      <c r="J17" s="183">
        <v>102</v>
      </c>
      <c r="K17" s="183">
        <v>74</v>
      </c>
      <c r="L17" s="183">
        <v>721</v>
      </c>
      <c r="M17" s="183">
        <v>34</v>
      </c>
      <c r="N17" s="183">
        <v>62</v>
      </c>
      <c r="O17" s="183">
        <v>0</v>
      </c>
      <c r="P17" s="183">
        <v>1</v>
      </c>
      <c r="Q17" s="183">
        <v>0</v>
      </c>
      <c r="R17" s="183">
        <v>14</v>
      </c>
      <c r="S17" s="183">
        <v>622</v>
      </c>
      <c r="T17" s="183">
        <v>192</v>
      </c>
      <c r="U17" s="183">
        <v>177</v>
      </c>
      <c r="V17" s="183">
        <v>540</v>
      </c>
      <c r="W17" s="183">
        <v>85</v>
      </c>
      <c r="X17" s="189">
        <v>101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622</v>
      </c>
      <c r="AZ17" s="129">
        <f t="shared" si="14"/>
        <v>192</v>
      </c>
      <c r="BA17" s="129">
        <f t="shared" si="14"/>
        <v>177</v>
      </c>
      <c r="BB17" s="129">
        <f t="shared" si="14"/>
        <v>540</v>
      </c>
      <c r="BC17" s="125">
        <f>IF(ISNUMBER(W17),W17," - ")</f>
        <v>85</v>
      </c>
      <c r="BD17" s="126">
        <f>IF(ISNUMBER(BA17/AZ17),BA17/AZ17," - ")</f>
        <v>0.921875</v>
      </c>
      <c r="BE17" s="127">
        <f>IF(ISNUMBER(BB17/BA17),BB17/BA17, " - ")</f>
        <v>3.0508474576271185</v>
      </c>
      <c r="BF17" s="127">
        <f>IF(ISNUMBER(BC17/BA17),BC17/BA17, " - ")</f>
        <v>0.48022598870056499</v>
      </c>
      <c r="BG17" s="196">
        <f>IF(ISNUMBER((AY17+AZ17)/BA17),(AY17+AZ17)/BA17," - ")</f>
        <v>4.5988700564971747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5578</v>
      </c>
      <c r="J18" s="184">
        <f t="shared" si="15"/>
        <v>2075</v>
      </c>
      <c r="K18" s="184">
        <f t="shared" si="15"/>
        <v>1676</v>
      </c>
      <c r="L18" s="184">
        <f t="shared" si="15"/>
        <v>5972</v>
      </c>
      <c r="M18" s="184">
        <f t="shared" si="15"/>
        <v>212</v>
      </c>
      <c r="N18" s="184">
        <f t="shared" si="15"/>
        <v>1080</v>
      </c>
      <c r="O18" s="184">
        <f t="shared" si="15"/>
        <v>7</v>
      </c>
      <c r="P18" s="184">
        <f t="shared" si="15"/>
        <v>23</v>
      </c>
      <c r="Q18" s="184">
        <f t="shared" si="15"/>
        <v>11</v>
      </c>
      <c r="R18" s="184">
        <f t="shared" si="15"/>
        <v>239</v>
      </c>
      <c r="S18" s="184">
        <f t="shared" si="15"/>
        <v>4736</v>
      </c>
      <c r="T18" s="184">
        <f t="shared" si="15"/>
        <v>2421</v>
      </c>
      <c r="U18" s="184">
        <f t="shared" si="15"/>
        <v>1548</v>
      </c>
      <c r="V18" s="184">
        <f t="shared" si="15"/>
        <v>5431</v>
      </c>
      <c r="W18" s="184">
        <f t="shared" si="15"/>
        <v>199</v>
      </c>
      <c r="X18" s="184">
        <f t="shared" si="15"/>
        <v>1099</v>
      </c>
      <c r="Y18" s="184">
        <f t="shared" si="15"/>
        <v>0</v>
      </c>
      <c r="Z18" s="184">
        <f t="shared" si="15"/>
        <v>0</v>
      </c>
      <c r="AA18" s="184">
        <f t="shared" si="15"/>
        <v>0</v>
      </c>
      <c r="AB18" s="184">
        <f t="shared" si="15"/>
        <v>0</v>
      </c>
      <c r="AC18" s="184">
        <f t="shared" si="15"/>
        <v>6</v>
      </c>
      <c r="AD18" s="184">
        <f t="shared" si="15"/>
        <v>77</v>
      </c>
      <c r="AE18" s="184">
        <f t="shared" si="15"/>
        <v>68</v>
      </c>
      <c r="AF18" s="184">
        <f t="shared" si="15"/>
        <v>15</v>
      </c>
      <c r="AG18" s="184">
        <f t="shared" si="15"/>
        <v>0</v>
      </c>
      <c r="AH18" s="184">
        <f t="shared" si="15"/>
        <v>0</v>
      </c>
      <c r="AI18" s="184">
        <f t="shared" si="15"/>
        <v>0</v>
      </c>
      <c r="AJ18" s="184">
        <f t="shared" si="15"/>
        <v>0</v>
      </c>
      <c r="AK18" s="184">
        <f t="shared" si="15"/>
        <v>2</v>
      </c>
      <c r="AL18" s="184">
        <f t="shared" si="15"/>
        <v>77</v>
      </c>
      <c r="AM18" s="184">
        <f t="shared" si="15"/>
        <v>75</v>
      </c>
      <c r="AN18" s="184">
        <f t="shared" si="15"/>
        <v>3</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4736</v>
      </c>
      <c r="AZ18" s="184">
        <f>SUBTOTAL(9,AZ14:AZ17)</f>
        <v>2421</v>
      </c>
      <c r="BA18" s="184">
        <f>SUBTOTAL(9,BA14:BA17)</f>
        <v>1548</v>
      </c>
      <c r="BB18" s="184">
        <f>SUBTOTAL(9,BB14:BB17)</f>
        <v>5431</v>
      </c>
      <c r="BC18" s="184">
        <f>SUBTOTAL(9,BC14:BC17)</f>
        <v>199</v>
      </c>
      <c r="BD18" s="205">
        <f>IF(ISNUMBER(BA18/AZ18),BA18/AZ18," - ")</f>
        <v>0.63940520446096649</v>
      </c>
      <c r="BE18" s="206">
        <f>IF(ISNUMBER(BB18/BA18),BB18/BA18, " - ")</f>
        <v>3.5083979328165373</v>
      </c>
      <c r="BF18" s="206">
        <f>IF(ISNUMBER(BC18/BA18),BC18/BA18, " - ")</f>
        <v>0.12855297157622739</v>
      </c>
      <c r="BG18" s="207">
        <f>IF(ISNUMBER((AY18+AZ18)/BA18),(AY18+AZ18)/BA18," - ")</f>
        <v>4.623385012919897</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13530</v>
      </c>
      <c r="J19" s="134">
        <f t="shared" si="18"/>
        <v>3779</v>
      </c>
      <c r="K19" s="134">
        <f t="shared" si="18"/>
        <v>2858</v>
      </c>
      <c r="L19" s="134">
        <f t="shared" si="18"/>
        <v>14402</v>
      </c>
      <c r="M19" s="134">
        <f t="shared" si="18"/>
        <v>400</v>
      </c>
      <c r="N19" s="134">
        <f t="shared" si="18"/>
        <v>1766</v>
      </c>
      <c r="O19" s="134">
        <f t="shared" si="18"/>
        <v>537</v>
      </c>
      <c r="P19" s="134">
        <f t="shared" si="18"/>
        <v>350</v>
      </c>
      <c r="Q19" s="134">
        <f t="shared" si="18"/>
        <v>771</v>
      </c>
      <c r="R19" s="134">
        <f t="shared" si="18"/>
        <v>7382</v>
      </c>
      <c r="S19" s="134">
        <f t="shared" si="18"/>
        <v>8935</v>
      </c>
      <c r="T19" s="134">
        <f t="shared" si="18"/>
        <v>4643</v>
      </c>
      <c r="U19" s="134">
        <f t="shared" si="18"/>
        <v>2242</v>
      </c>
      <c r="V19" s="134">
        <f t="shared" si="18"/>
        <v>11151</v>
      </c>
      <c r="W19" s="134">
        <f t="shared" si="18"/>
        <v>370</v>
      </c>
      <c r="X19" s="134">
        <f t="shared" si="18"/>
        <v>1502</v>
      </c>
      <c r="Y19" s="134">
        <f t="shared" si="18"/>
        <v>200</v>
      </c>
      <c r="Z19" s="134">
        <f t="shared" si="18"/>
        <v>33</v>
      </c>
      <c r="AA19" s="134">
        <f t="shared" si="18"/>
        <v>42</v>
      </c>
      <c r="AB19" s="134">
        <f t="shared" si="18"/>
        <v>186</v>
      </c>
      <c r="AC19" s="134">
        <f t="shared" si="18"/>
        <v>6</v>
      </c>
      <c r="AD19" s="134">
        <f t="shared" si="18"/>
        <v>77</v>
      </c>
      <c r="AE19" s="134">
        <f t="shared" si="18"/>
        <v>68</v>
      </c>
      <c r="AF19" s="134">
        <f t="shared" si="18"/>
        <v>15</v>
      </c>
      <c r="AG19" s="134">
        <f t="shared" si="18"/>
        <v>199</v>
      </c>
      <c r="AH19" s="134">
        <f t="shared" si="18"/>
        <v>118</v>
      </c>
      <c r="AI19" s="134">
        <f t="shared" si="18"/>
        <v>50</v>
      </c>
      <c r="AJ19" s="134">
        <f t="shared" si="18"/>
        <v>276</v>
      </c>
      <c r="AK19" s="134">
        <f t="shared" si="18"/>
        <v>2</v>
      </c>
      <c r="AL19" s="134">
        <f t="shared" si="18"/>
        <v>77</v>
      </c>
      <c r="AM19" s="134">
        <f t="shared" si="18"/>
        <v>75</v>
      </c>
      <c r="AN19" s="210">
        <f t="shared" si="18"/>
        <v>3</v>
      </c>
      <c r="AO19" s="211">
        <v>9</v>
      </c>
      <c r="AP19" s="211">
        <v>8</v>
      </c>
      <c r="AQ19" s="211">
        <v>8</v>
      </c>
      <c r="AR19" s="211">
        <v>8</v>
      </c>
      <c r="AS19" s="153">
        <f t="shared" si="18"/>
        <v>0</v>
      </c>
      <c r="AT19" s="153">
        <f t="shared" si="18"/>
        <v>0</v>
      </c>
      <c r="AU19" s="211"/>
      <c r="AV19" s="212"/>
      <c r="AW19" s="211"/>
      <c r="AX19" s="212"/>
      <c r="AY19" s="133">
        <f>SUBTOTAL(9,AY9:AY18)</f>
        <v>9134</v>
      </c>
      <c r="AZ19" s="134">
        <f>SUBTOTAL(9,AZ9:AZ18)</f>
        <v>4761</v>
      </c>
      <c r="BA19" s="134">
        <f>SUBTOTAL(9,BA9:BA18)</f>
        <v>2292</v>
      </c>
      <c r="BB19" s="134">
        <f>SUBTOTAL(9,BB9:BB18)</f>
        <v>11427</v>
      </c>
      <c r="BC19" s="135">
        <f>SUBTOTAL(9,BC9:BC18)</f>
        <v>604</v>
      </c>
      <c r="BD19" s="213">
        <f>IF(ISNUMBER(BA19/AZ19),BA19/AZ19," - ")</f>
        <v>0.48141146817895403</v>
      </c>
      <c r="BE19" s="210">
        <f>IF(ISNUMBER(BB19/BA19),BB19/BA19, " - ")</f>
        <v>4.9856020942408374</v>
      </c>
      <c r="BF19" s="210">
        <f>IF(ISNUMBER(BC19/BA19),BC19/BA19, " - ")</f>
        <v>0.26352530541012215</v>
      </c>
      <c r="BG19" s="135">
        <f>IF(ISNUMBER((AY19+AZ19)/BA19),(AY19+AZ19)/BA19," - ")</f>
        <v>6.0623909249563699</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IJvRE7zymcpDxeacSJ+A7KzE7RW6GlTQgvfHw2r8nWGkO0JxotCAoJ67gtY47g5Ob2c1xYGn32q/vjEmrLLqQ==" saltValue="iZ60MvgTbr0ceqT565L+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rutF2w0YwfCzjfrP06FWYWsqyMuDufJ/VLPrXDcXQKJiq7TE8qN2rTObqNiPuPuaSad+CkjXUqlhVqho7z7pg==" saltValue="OC48UMada+IWr9rdxxrh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LORCA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238</v>
      </c>
      <c r="G10" s="333">
        <f>IF(ISNUMBER(Datos!I10),Datos!I10," - ")</f>
        <v>238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257</v>
      </c>
      <c r="AG10" s="334"/>
      <c r="AH10" s="334"/>
      <c r="AI10" s="334"/>
      <c r="AJ10" s="334"/>
      <c r="AK10" s="334"/>
      <c r="AL10" s="479"/>
      <c r="AM10" s="335">
        <f>IF(ISNUMBER(Datos!R10),Datos!R10," - ")</f>
        <v>54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v>
      </c>
      <c r="BE10" s="229" t="str">
        <f>IF(ISNUMBER(Datos!BW10),Datos!BW10," - ")</f>
        <v xml:space="preserve"> - </v>
      </c>
      <c r="BF10" s="228" t="str">
        <f>IF(ISNUMBER(Datos!BX10),Datos!BX10," - ")</f>
        <v xml:space="preserve"> - </v>
      </c>
      <c r="BG10" s="243">
        <f>IF(ISNUMBER(Datos!K10/Datos!J10),Datos!K10/Datos!J10," - ")</f>
        <v>0.32142857142857145</v>
      </c>
      <c r="BH10" s="260">
        <f>IF(ISNUMBER(((Datos!L10/Datos!K10)*11)/factor_trimestre),((Datos!L10/Datos!K10)*11)/factor_trimestre," - ")</f>
        <v>57.111111111111114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0.10204081632653061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322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186</v>
      </c>
      <c r="AI12" s="334" t="str">
        <f>IF(ISNUMBER(Datos!CD12),Datos!CD12,"-")</f>
        <v>-</v>
      </c>
      <c r="AJ12" s="334" t="str">
        <f>IF(ISNUMBER(Datos!EN12),Datos!EN12," - ")</f>
        <v xml:space="preserve"> - </v>
      </c>
      <c r="AK12" s="334"/>
      <c r="AL12" s="479"/>
      <c r="AM12" s="335">
        <f>IF(ISNUMBER(Datos!R12),Datos!R12," - ")</f>
        <v>7089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183</v>
      </c>
      <c r="BD12" s="229">
        <f>IF(ISNUMBER(Datos!N12),Datos!N12," - ")</f>
        <v>685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0.7109420713867759</v>
      </c>
      <c r="BH12" s="260">
        <f>IF(ISNUMBER(((IF(J_V="SI",Datos!L12/Datos!K12,(Datos!L12+Datos!AB12)/(Datos!K12+Datos!AA12)))*11)/factor_trimestre),((IF(J_V="SI",Datos!L12/Datos!K12,(Datos!L12+Datos!AB12)/(Datos!K12+Datos!AA12)))*11)/factor_trimestre," - ")</f>
        <v>13.759670781893004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-5.8190514149063371E-2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238</v>
      </c>
      <c r="G13" s="898">
        <f t="shared" si="0"/>
        <v>238</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327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760</v>
      </c>
      <c r="AD13" s="899">
        <f t="shared" si="1"/>
        <v>0</v>
      </c>
      <c r="AE13" s="899">
        <f t="shared" si="1"/>
        <v>0</v>
      </c>
      <c r="AF13" s="899">
        <f t="shared" si="1"/>
        <v>257</v>
      </c>
      <c r="AG13" s="899">
        <f t="shared" si="1"/>
        <v>0</v>
      </c>
      <c r="AH13" s="899">
        <f t="shared" si="1"/>
        <v>186</v>
      </c>
      <c r="AI13" s="899">
        <f t="shared" si="1"/>
        <v>0</v>
      </c>
      <c r="AJ13" s="899">
        <f t="shared" si="1"/>
        <v>0</v>
      </c>
      <c r="AK13" s="899">
        <f t="shared" si="1"/>
        <v>0</v>
      </c>
      <c r="AL13" s="899">
        <f t="shared" si="1"/>
        <v>0</v>
      </c>
      <c r="AM13" s="899">
        <f t="shared" si="1"/>
        <v>7143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188</v>
      </c>
      <c r="BD13" s="899">
        <f t="shared" si="1"/>
        <v>686</v>
      </c>
      <c r="BE13" s="899">
        <f t="shared" si="1"/>
        <v>0</v>
      </c>
      <c r="BF13" s="899">
        <f t="shared" si="1"/>
        <v>0</v>
      </c>
      <c r="BG13" s="899">
        <f>IF(ISNUMBER(Datos!K13/Datos!J13),Datos!K13/Datos!J13," - ")</f>
        <v>0.69366197183098588</v>
      </c>
      <c r="BH13" s="903">
        <f>IF(ISNUMBER(((Datos!L13/Datos!K13)*11)/factor_trimestre),((Datos!L13/Datos!K13)*11)/factor_trimestre," - ")</f>
        <v>14.263959390862944</v>
      </c>
      <c r="BI13" s="899">
        <f>IF(ISNUMBER('Resol  Asuntos'!D13/NºAsuntos!G13),'Resol  Asuntos'!D13/NºAsuntos!G13," - ")</f>
        <v>0.15359477124183007</v>
      </c>
      <c r="BJ13" s="899" t="str">
        <f>IF(ISNUMBER(Datos!CI13/Datos!CJ13),Datos!CI13/Datos!CJ13," - ")</f>
        <v xml:space="preserve"> - </v>
      </c>
      <c r="BK13" s="899">
        <f>SUBTOTAL(9,BK8:BK12)</f>
        <v>0</v>
      </c>
      <c r="BL13" s="899">
        <f>IF(ISNUMBER((I13-AB13+L13)/(F13)),(I13-AB13+L13)/(F13)," - ")</f>
        <v>-3.7815126050420166E-2</v>
      </c>
      <c r="BM13" s="904">
        <f>SUBTOTAL(9,BM9:BM12)</f>
        <v>4.3850302177467243E-2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4880</v>
      </c>
      <c r="G16" s="598">
        <f>IF(ISNUMBER(IF(D_I="SI",Datos!I16,Datos!I16+Datos!AC16)),IF(D_I="SI",Datos!I16,Datos!I16+Datos!AC16)," - ")</f>
        <v>4885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1602</v>
      </c>
      <c r="AC16" s="226">
        <f>IF(ISNUMBER(Datos!Q16),Datos!Q16," - ")</f>
        <v>11</v>
      </c>
      <c r="AD16" s="334"/>
      <c r="AE16" s="484"/>
      <c r="AF16" s="596">
        <f>IF(ISNUMBER(IF(D_I="SI",Datos!L16,Datos!L16+Datos!AF16)),IF(D_I="SI",Datos!L16,Datos!L16+Datos!AF16)," - ")</f>
        <v>5251</v>
      </c>
      <c r="AG16" s="334"/>
      <c r="AH16" s="334"/>
      <c r="AI16" s="334"/>
      <c r="AJ16" s="334"/>
      <c r="AK16" s="334"/>
      <c r="AL16" s="479"/>
      <c r="AM16" s="335">
        <f>IF(ISNUMBER(Datos!R16),Datos!R16," - ")</f>
        <v>225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178</v>
      </c>
      <c r="BD16" s="229">
        <f>IF(ISNUMBER(Datos!N16),Datos!N16," - ")</f>
        <v>1018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0.81196147997972634</v>
      </c>
      <c r="BH16" s="260">
        <f>IF(ISNUMBER(((IF(D_I="SI",Datos!L16/Datos!K16,(Datos!L16+Datos!AF16)/(Datos!K16+Datos!AE16)))*11)/factor_trimestre),((IF(D_I="SI",Datos!L16/Datos!K16,(Datos!L16+Datos!AF16)/(Datos!K16+Datos!AE16)))*11)/factor_trimestre," - ")</f>
        <v>6.5555555555555562</v>
      </c>
      <c r="BI16" s="243">
        <f>IF(ISNUMBER('Resol  Asuntos'!D16/NºAsuntos!G16),'Resol  Asuntos'!D16/NºAsuntos!G16," - ")</f>
        <v>0.1111111111111111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74</v>
      </c>
      <c r="AC17" s="226">
        <f>IF(ISNUMBER(Datos!Q17),Datos!Q17," - ")</f>
        <v>0</v>
      </c>
      <c r="AD17" s="334"/>
      <c r="AE17" s="484"/>
      <c r="AF17" s="332">
        <f>IF(ISNUMBER(Datos!L17),Datos!L17,"-")</f>
        <v>721</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34</v>
      </c>
      <c r="BD17" s="229">
        <f>IF(ISNUMBER(Datos!N17),Datos!N17," - ")</f>
        <v>62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0.72549019607843135</v>
      </c>
      <c r="BH17" s="260">
        <f>IF(ISNUMBER(((IF(D_I="SI",Datos!L17/Datos!K17,(Datos!L17+Datos!AF17)/(Datos!K17+Datos!AE17)))*11)/factor_trimestre),((IF(D_I="SI",Datos!L17/Datos!K17,(Datos!L17+Datos!AF17)/(Datos!K17+Datos!AE17)))*11)/factor_trimestre," - ")</f>
        <v>19.486486486486488</v>
      </c>
      <c r="BI17" s="243">
        <f>IF(ISNUMBER('Resol  Asuntos'!D17/NºAsuntos!G17),'Resol  Asuntos'!D17/NºAsuntos!G17," - ")</f>
        <v>0.45945945945945948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4880</v>
      </c>
      <c r="G18" s="898">
        <f>SUBTOTAL(9,G15:G17)</f>
        <v>5578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1676</v>
      </c>
      <c r="AC18" s="899">
        <f t="shared" si="4"/>
        <v>11</v>
      </c>
      <c r="AD18" s="899">
        <f t="shared" si="4"/>
        <v>0</v>
      </c>
      <c r="AE18" s="899">
        <f t="shared" si="4"/>
        <v>0</v>
      </c>
      <c r="AF18" s="899">
        <f t="shared" si="4"/>
        <v>5972</v>
      </c>
      <c r="AG18" s="899">
        <f t="shared" si="4"/>
        <v>0</v>
      </c>
      <c r="AH18" s="899">
        <f t="shared" si="4"/>
        <v>0</v>
      </c>
      <c r="AI18" s="899">
        <f t="shared" si="4"/>
        <v>0</v>
      </c>
      <c r="AJ18" s="899">
        <f t="shared" si="4"/>
        <v>0</v>
      </c>
      <c r="AK18" s="899">
        <f t="shared" si="4"/>
        <v>0</v>
      </c>
      <c r="AL18" s="899">
        <f t="shared" si="4"/>
        <v>0</v>
      </c>
      <c r="AM18" s="899">
        <f t="shared" si="4"/>
        <v>239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212</v>
      </c>
      <c r="BD18" s="899">
        <f t="shared" si="4"/>
        <v>1080</v>
      </c>
      <c r="BE18" s="899">
        <f t="shared" si="4"/>
        <v>0</v>
      </c>
      <c r="BF18" s="899">
        <f t="shared" si="4"/>
        <v>0</v>
      </c>
      <c r="BG18" s="899">
        <f>IF(ISNUMBER(Datos!K18/Datos!J18),Datos!K18/Datos!J18," - ")</f>
        <v>0.80771084337349397</v>
      </c>
      <c r="BH18" s="903">
        <f>IF(ISNUMBER(((Datos!L18/Datos!K18)*11)/factor_trimestre),((Datos!L18/Datos!K18)*11)/factor_trimestre," - ")</f>
        <v>7.1264916467780433</v>
      </c>
      <c r="BI18" s="899">
        <f>SUBTOTAL(9,BI15:BI17)</f>
        <v>0.57057057057057059</v>
      </c>
      <c r="BJ18" s="899">
        <f>SUBTOTAL(9,BJ15:BJ17)</f>
        <v>0</v>
      </c>
      <c r="BK18" s="899">
        <f>SUBTOTAL(9,BK15:BK17)</f>
        <v>0</v>
      </c>
      <c r="BL18" s="899">
        <f>IF(ISNUMBER((I18-AB18+L18)/(F18)),(I18-AB18+L18)/(F18)," - ")</f>
        <v>-0.34344262295081968</v>
      </c>
      <c r="BM18" s="905">
        <f>IF(ISNUMBER((Datos!P18-Datos!Q18)/(Datos!R18-Datos!P18+Datos!Q18)),(Datos!P18-Datos!Q18)/(Datos!R18-Datos!P18+Datos!Q18)," - ")</f>
        <v>5.2863436123348019E-2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5118</v>
      </c>
      <c r="G19" s="820">
        <f t="shared" si="6"/>
        <v>5816</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350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1685</v>
      </c>
      <c r="AC19" s="821">
        <f t="shared" si="7"/>
        <v>771</v>
      </c>
      <c r="AD19" s="821">
        <f t="shared" si="7"/>
        <v>0</v>
      </c>
      <c r="AE19" s="821">
        <f t="shared" si="7"/>
        <v>0</v>
      </c>
      <c r="AF19" s="828">
        <f t="shared" si="7"/>
        <v>6229</v>
      </c>
      <c r="AG19" s="828">
        <f t="shared" si="7"/>
        <v>0</v>
      </c>
      <c r="AH19" s="828">
        <f t="shared" si="7"/>
        <v>186</v>
      </c>
      <c r="AI19" s="828">
        <f t="shared" si="7"/>
        <v>0</v>
      </c>
      <c r="AJ19" s="821">
        <f t="shared" si="7"/>
        <v>0</v>
      </c>
      <c r="AK19" s="828">
        <f t="shared" si="7"/>
        <v>0</v>
      </c>
      <c r="AL19" s="828">
        <f t="shared" si="7"/>
        <v>0</v>
      </c>
      <c r="AM19" s="828">
        <f t="shared" si="7"/>
        <v>7382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400</v>
      </c>
      <c r="BD19" s="820">
        <f t="shared" si="7"/>
        <v>1766</v>
      </c>
      <c r="BE19" s="820">
        <f t="shared" si="7"/>
        <v>0</v>
      </c>
      <c r="BF19" s="830">
        <f t="shared" si="7"/>
        <v>0</v>
      </c>
      <c r="BG19" s="915">
        <f>IF(ISNUMBER(Datos!K19/Datos!J19),Datos!K19/Datos!J19," - ")</f>
        <v>0.75628473141042607</v>
      </c>
      <c r="BH19" s="915">
        <f>IF(ISNUMBER(((Datos!L19/Datos!K19)*11)/factor_trimestre),((Datos!L19/Datos!K19)*11)/factor_trimestre," - ")</f>
        <v>10.078376487053884</v>
      </c>
      <c r="BI19" s="813">
        <f>IF(ISNUMBER(Datos!J19/Datos!I19),Datos!J19/Datos!I19," - ")</f>
        <v>0.27930524759793052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-0.32923016803438843</v>
      </c>
      <c r="BM19" s="889">
        <f>IF(ISNUMBER((Datos!P19-Datos!Q19+R19)/(Datos!R19-Datos!P19+Datos!Q19-R19)),(Datos!P19-Datos!Q19+R19)/(Datos!R19-Datos!P19+Datos!Q19-R19)," - ")</f>
        <v>-5.3953607586825582E-2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2326.4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2680.0599495782426</v>
      </c>
      <c r="G21" s="552">
        <f>IF(ISNUMBER(STDEV(G8:G18)),STDEV(G8:G18),"-")</f>
        <v>2669.7453623894544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881.70828509207058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89.415136675322856</v>
      </c>
      <c r="BD21" s="551"/>
      <c r="BE21" s="551">
        <f>IF(ISNUMBER(STDEV(BE8:BE18)),STDEV(BE8:BE18),"-")</f>
        <v>0</v>
      </c>
      <c r="BF21" s="556">
        <f>IF(ISNUMBER(STDEV(BF8:BF18)),STDEV(BF8:BF18),"-")</f>
        <v>0</v>
      </c>
      <c r="BG21" s="775">
        <f>IF(ISNUMBER(STDEV(BG8:BG18)),STDEV(BG8:BG18),"-")</f>
        <v>0.18193287737660144</v>
      </c>
      <c r="BH21" s="776">
        <f>IF(ISNUMBER(STDEV(BH8:BH18)),STDEV(BH8:BH18),"-")</f>
        <v>18.94910354477841</v>
      </c>
      <c r="BI21" s="249">
        <f>IF(ISNUMBER(STDEV(BI8:BI18)),STDEV(BI8:BI18),"-")</f>
        <v>0.22620457772382338</v>
      </c>
      <c r="BJ21" s="230" t="str">
        <f>IF(ISNUMBER(BL21/BM21),BL21/BM21," - ")</f>
        <v xml:space="preserve"> - </v>
      </c>
      <c r="BK21" s="575"/>
      <c r="BL21" s="559">
        <f>IF(ISNUMBER(STDEV(BL8:BL18)),STDEV(BL8:BL18),"-")</f>
        <v>0.21611127557534307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YqIrObhy4+2j8ndEEV4cMHhxmrbVQ1o6GlqigWQ5K8h/QztGtDUeaQBgbLEbkmR4OB+65XlIGXQSilvHCTOYg==" saltValue="3yDUtw2ReQHjh0ZBiF8R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LORCA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238</v>
      </c>
      <c r="G10" s="225">
        <f>IF(ISNUMBER(Datos!I10),Datos!I10," - ")</f>
        <v>238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257</v>
      </c>
      <c r="AB10" s="334"/>
      <c r="AC10" s="334"/>
      <c r="AD10" s="484"/>
      <c r="AE10" s="484">
        <f>IF(ISNUMBER(Datos!R10),Datos!R10," - ")</f>
        <v>54</v>
      </c>
      <c r="AF10" s="229" t="str">
        <f>IF(ISNUMBER(Datos!BV10),Datos!BV10," - ")</f>
        <v xml:space="preserve"> - </v>
      </c>
      <c r="AG10" s="225" t="str">
        <f>IF(ISNUMBER(Datos!DV10),Datos!DV10," - ")</f>
        <v xml:space="preserve"> - </v>
      </c>
      <c r="AH10" s="298"/>
      <c r="AI10" s="227"/>
      <c r="AJ10" s="225">
        <f>IF(ISNUMBER(Datos!M10),Datos!M10," - ")</f>
        <v>5</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57.111111111111114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0.10204081632653061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760</v>
      </c>
      <c r="AA12" s="332" t="str">
        <f>IF(ISNUMBER(IF(J_V="SI",Datos!L12,Datos!L12+Datos!AB12)-IF(Monitorios="SI",Datos!CD12,0)),
                          IF(J_V="SI",Datos!L12,Datos!L12+Datos!AB12)-IF(Monitorios="SI",Datos!CD12,0),
                          " - ")</f>
        <v xml:space="preserve"> - </v>
      </c>
      <c r="AB12" s="334"/>
      <c r="AC12" s="334"/>
      <c r="AD12" s="484"/>
      <c r="AE12" s="484">
        <f>IF(ISNUMBER(Datos!R12),Datos!R12," - ")</f>
        <v>7089</v>
      </c>
      <c r="AF12" s="229" t="str">
        <f>IF(ISNUMBER(Datos!BV12),Datos!BV12," - ")</f>
        <v xml:space="preserve"> - </v>
      </c>
      <c r="AG12" s="225" t="str">
        <f>IF(ISNUMBER(Datos!DV12),Datos!DV12," - ")</f>
        <v xml:space="preserve"> - </v>
      </c>
      <c r="AH12" s="298"/>
      <c r="AI12" s="227"/>
      <c r="AJ12" s="225">
        <f>IF(ISNUMBER(Datos!M12),Datos!M12," - ")</f>
        <v>183</v>
      </c>
      <c r="AK12" s="229">
        <f>IF(ISNUMBER(Datos!N12),Datos!N12," - ")</f>
        <v>685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13.759670781893004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-5.8190514149063371E-2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238</v>
      </c>
      <c r="G13" s="898">
        <f>SUBTOTAL(9,G8:G12)</f>
        <v>238</v>
      </c>
      <c r="H13" s="908"/>
      <c r="I13" s="898">
        <f t="shared" ref="I13:N13" si="0">SUBTOTAL(9,I8:I12)</f>
        <v>0</v>
      </c>
      <c r="J13" s="867">
        <f t="shared" si="0"/>
        <v>0</v>
      </c>
      <c r="K13" s="908">
        <f t="shared" si="0"/>
        <v>0</v>
      </c>
      <c r="L13" s="908">
        <f t="shared" si="0"/>
        <v>0</v>
      </c>
      <c r="M13" s="908">
        <f t="shared" si="0"/>
        <v>0</v>
      </c>
      <c r="N13" s="908">
        <f t="shared" si="0"/>
        <v>327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760</v>
      </c>
      <c r="AA13" s="900">
        <f t="shared" si="2"/>
        <v>257</v>
      </c>
      <c r="AB13" s="900">
        <f t="shared" si="2"/>
        <v>0</v>
      </c>
      <c r="AC13" s="900">
        <f t="shared" si="2"/>
        <v>0</v>
      </c>
      <c r="AD13" s="900">
        <f t="shared" si="2"/>
        <v>0</v>
      </c>
      <c r="AE13" s="900">
        <f t="shared" si="2"/>
        <v>7143</v>
      </c>
      <c r="AF13" s="908">
        <f t="shared" si="2"/>
        <v>0</v>
      </c>
      <c r="AG13" s="908">
        <f t="shared" si="2"/>
        <v>0</v>
      </c>
      <c r="AH13" s="908">
        <f t="shared" si="2"/>
        <v>0</v>
      </c>
      <c r="AI13" s="908">
        <f t="shared" si="2"/>
        <v>0</v>
      </c>
      <c r="AJ13" s="908">
        <f t="shared" si="2"/>
        <v>188</v>
      </c>
      <c r="AK13" s="908">
        <f t="shared" si="2"/>
        <v>686</v>
      </c>
      <c r="AL13" s="908">
        <f t="shared" si="2"/>
        <v>0</v>
      </c>
      <c r="AM13" s="908">
        <f t="shared" si="2"/>
        <v>0</v>
      </c>
      <c r="AN13" s="908">
        <f t="shared" si="2"/>
        <v>0</v>
      </c>
      <c r="AO13" s="904">
        <f>IF(ISNUMBER(((NºAsuntos!I13/NºAsuntos!G13)*11)/factor_trimestre),((NºAsuntos!I13/NºAsuntos!G13)*11)/factor_trimestre," - ")</f>
        <v>14.078431372549021</v>
      </c>
      <c r="AP13" s="910" t="str">
        <f>IF(ISNUMBER(Datos!CI13/Datos!CJ13),Datos!CI13/Datos!CJ13," - ")</f>
        <v xml:space="preserve"> - </v>
      </c>
      <c r="AQ13" s="928">
        <f t="shared" ref="AQ13:AV13" si="3">SUBTOTAL(9,AQ9:AQ12)</f>
        <v>0</v>
      </c>
      <c r="AR13" s="928">
        <f t="shared" si="3"/>
        <v>4.3850302177467243E-2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4880</v>
      </c>
      <c r="G16" s="225">
        <f>IF(ISNUMBER(IF(D_I="SI",Datos!I16,Datos!I16+Datos!AC16)),IF(D_I="SI",Datos!I16,Datos!I16+Datos!AC16)," - ")</f>
        <v>4885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1602</v>
      </c>
      <c r="Z16" s="619">
        <f>IF(ISNUMBER(Datos!Q16),Datos!Q16," - ")</f>
        <v>11</v>
      </c>
      <c r="AA16" s="332">
        <f>IF(ISNUMBER(IF(D_I="SI",Datos!L16,Datos!L16+Datos!AF16)),IF(D_I="SI",Datos!L16,Datos!L16+Datos!AF16)," - ")</f>
        <v>5251</v>
      </c>
      <c r="AB16" s="334"/>
      <c r="AC16" s="334"/>
      <c r="AD16" s="484"/>
      <c r="AE16" s="484">
        <f>IF(ISNUMBER(Datos!R16),Datos!R16," - ")</f>
        <v>225</v>
      </c>
      <c r="AF16" s="229" t="str">
        <f>IF(ISNUMBER(Datos!BV16),Datos!BV16," - ")</f>
        <v xml:space="preserve"> - </v>
      </c>
      <c r="AG16" s="225"/>
      <c r="AH16" s="298"/>
      <c r="AI16" s="227"/>
      <c r="AJ16" s="225">
        <f>IF(ISNUMBER(Datos!M16),Datos!M16," - ")</f>
        <v>178</v>
      </c>
      <c r="AK16" s="229">
        <f>IF(ISNUMBER(Datos!N16),Datos!N16," - ")</f>
        <v>1018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6.5555555555555562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74</v>
      </c>
      <c r="Z17" s="619">
        <f>IF(ISNUMBER(Datos!Q17),Datos!Q17," - ")</f>
        <v>0</v>
      </c>
      <c r="AA17" s="332">
        <f>IF(ISNUMBER(Datos!L17),Datos!L17,"-")</f>
        <v>721</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34</v>
      </c>
      <c r="AK17" s="229">
        <f>IF(ISNUMBER(Datos!N17),Datos!N17," - ")</f>
        <v>62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19.486486486486488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4880</v>
      </c>
      <c r="G18" s="898">
        <f>SUBTOTAL(9,G15:G17)</f>
        <v>5578</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1676</v>
      </c>
      <c r="Z18" s="932">
        <f t="shared" si="5"/>
        <v>11</v>
      </c>
      <c r="AA18" s="932">
        <f t="shared" si="5"/>
        <v>5972</v>
      </c>
      <c r="AB18" s="932">
        <f t="shared" si="5"/>
        <v>0</v>
      </c>
      <c r="AC18" s="932">
        <f t="shared" si="5"/>
        <v>0</v>
      </c>
      <c r="AD18" s="932">
        <f t="shared" si="5"/>
        <v>0</v>
      </c>
      <c r="AE18" s="932">
        <f t="shared" si="5"/>
        <v>239</v>
      </c>
      <c r="AF18" s="932">
        <f t="shared" si="5"/>
        <v>0</v>
      </c>
      <c r="AG18" s="932">
        <f t="shared" si="5"/>
        <v>0</v>
      </c>
      <c r="AH18" s="932">
        <f t="shared" si="5"/>
        <v>0</v>
      </c>
      <c r="AI18" s="932">
        <f t="shared" si="5"/>
        <v>0</v>
      </c>
      <c r="AJ18" s="932">
        <f t="shared" si="5"/>
        <v>212</v>
      </c>
      <c r="AK18" s="932">
        <f t="shared" si="5"/>
        <v>1080</v>
      </c>
      <c r="AL18" s="932">
        <f t="shared" si="5"/>
        <v>0</v>
      </c>
      <c r="AM18" s="932">
        <f t="shared" si="5"/>
        <v>0</v>
      </c>
      <c r="AN18" s="932">
        <f t="shared" si="5"/>
        <v>0</v>
      </c>
      <c r="AO18" s="934">
        <f>IF(ISNUMBER(((NºAsuntos!I18/NºAsuntos!G18)*11)/factor_trimestre),((NºAsuntos!I18/NºAsuntos!G18)*11)/factor_trimestre," - ")</f>
        <v>7.1264916467780433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5118</v>
      </c>
      <c r="G19" s="820">
        <f t="shared" si="7"/>
        <v>5816</v>
      </c>
      <c r="H19" s="821">
        <f t="shared" si="7"/>
        <v>0</v>
      </c>
      <c r="I19" s="820">
        <f t="shared" si="7"/>
        <v>0</v>
      </c>
      <c r="J19" s="822">
        <f t="shared" si="7"/>
        <v>0</v>
      </c>
      <c r="K19" s="820">
        <f t="shared" si="7"/>
        <v>0</v>
      </c>
      <c r="L19" s="823">
        <f t="shared" si="7"/>
        <v>0</v>
      </c>
      <c r="M19" s="820">
        <f t="shared" si="7"/>
        <v>0</v>
      </c>
      <c r="N19" s="821">
        <f t="shared" si="7"/>
        <v>350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1685</v>
      </c>
      <c r="Z19" s="827">
        <f t="shared" si="8"/>
        <v>771</v>
      </c>
      <c r="AA19" s="828">
        <f t="shared" si="8"/>
        <v>6229</v>
      </c>
      <c r="AB19" s="828">
        <f t="shared" si="8"/>
        <v>0</v>
      </c>
      <c r="AC19" s="828">
        <f t="shared" si="8"/>
        <v>0</v>
      </c>
      <c r="AD19" s="829">
        <f t="shared" si="8"/>
        <v>0</v>
      </c>
      <c r="AE19" s="829">
        <f t="shared" si="8"/>
        <v>7382</v>
      </c>
      <c r="AF19" s="830">
        <f t="shared" si="8"/>
        <v>0</v>
      </c>
      <c r="AG19" s="831">
        <f t="shared" si="8"/>
        <v>0</v>
      </c>
      <c r="AH19" s="832">
        <f t="shared" si="8"/>
        <v>0</v>
      </c>
      <c r="AI19" s="830">
        <f t="shared" si="8"/>
        <v>0</v>
      </c>
      <c r="AJ19" s="820">
        <f t="shared" si="8"/>
        <v>400</v>
      </c>
      <c r="AK19" s="820">
        <f t="shared" si="8"/>
        <v>1766</v>
      </c>
      <c r="AL19" s="820">
        <f t="shared" si="8"/>
        <v>0</v>
      </c>
      <c r="AM19" s="833">
        <f t="shared" si="8"/>
        <v>0</v>
      </c>
      <c r="AN19" s="823">
        <f>IF(ISNUMBER(Datos!K19/Datos!J19),Datos!K19/Datos!J19," - ")</f>
        <v>0.75628473141042607</v>
      </c>
      <c r="AO19" s="823">
        <f>IF(ISNUMBER(FIND("06",Criterios!A8,1)),(IF(ISNUMBER(((Datos!R19/Datos!Q19)*11)/factor_trimestre),((Datos!R19/Datos!Q19)*11)/factor_trimestre," - ")),(IF(ISNUMBER(((Datos!L19/Datos!K19)*11)/factor_trimestre),((Datos!L19/Datos!K19)*11)/factor_trimestre," - ")))</f>
        <v>10.078376487053884</v>
      </c>
      <c r="AP19" s="834" t="str">
        <f>IF(ISNUMBER(Datos!CI19/Datos!CJ19),Datos!CI19/Datos!CJ19," - ")</f>
        <v xml:space="preserve"> - </v>
      </c>
      <c r="AQ19" s="834">
        <f>IF(OR(ISNUMBER(FIND("01",Criterios!A8,1)),ISNUMBER(FIND("02",Criterios!A8,1)),ISNUMBER(FIND("03",Criterios!A8,1)),ISNUMBER(FIND("04",Criterios!A8,1))),(J19-Y19+K19)/(F19-K19),(I19-Y19+K19)/(F19-K19))</f>
        <v>-0.32923016803438843</v>
      </c>
      <c r="AR19" s="834">
        <f>IF(ISNUMBER((Datos!P19-Datos!Q19+O19)/(Datos!R19-Datos!P19+Datos!Q19-O19)),(Datos!P19-Datos!Q19+O19)/(Datos!R19-Datos!P19+Datos!Q19-O19)," - ")</f>
        <v>-5.3953607586825582E-2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2326.4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2680.0599495782426</v>
      </c>
      <c r="G21" s="552">
        <f>IF(ISNUMBER(STDEV(G8:G18)),STDEV(G8:G18),"-")</f>
        <v>2669.7453623894544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89.415136675322856</v>
      </c>
      <c r="AK21" s="252"/>
      <c r="AL21" s="252">
        <f>IF(ISNUMBER(STDEV(AL8:AL18)),STDEV(AL8:AL18),"-")</f>
        <v>0</v>
      </c>
      <c r="AM21" s="254">
        <f>IF(ISNUMBER(STDEV(AM8:AM18)),STDEV(AM8:AM18),"-")</f>
        <v>0</v>
      </c>
      <c r="AN21" s="539">
        <f>IF(ISNUMBER(STDEV(AN8:AN18)),STDEV(AN8:AN18),"-")</f>
        <v>0</v>
      </c>
      <c r="AO21" s="540">
        <f>IF(ISNUMBER(STDEV(AO8:AO18)),STDEV(AO8:AO18),"-")</f>
        <v>18.959930232512466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A/57RZHTwgfBy8keyPzPQ0QJlmzHw5QEO302Tu2UKuqWdTBLA0e7zUyjBRzeUoLjcypNVs9CGU6ltfnoLTCUww==" saltValue="X1wt+EeXSySFidE8hb2q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5+xnrPgJU9cihwr0R/VrK9B2pmemKD5pdngcAdjGQ9XRc7+i9qg9MlEyWnXCK2hvY2P6OtTvoTgNd4OSx/zhQ==" saltValue="9n4mYZlG1tc0nAcVyZtz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bgZ3/zZyKcMe6wcZUxeBT5uZ7nl9H/PRxPjgrzh8Zagrn8vK0hYtoGDphSenrgWcD/o4SVkPEj/K87GxpMyog==" saltValue="bI1/V5csGnfoVBORwsaJm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LORCA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0.15359477124183007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0.10860790429989456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OqWBr13jpG3agHTuJ9DhbzgtCoRa6QuCj4RPkRo9U781X+h9Z3z3gF8WSbaqxjfp8y5YDmc/PSxP7TtDtLxtqg==" saltValue="XGKVmtvdhk52gLPvYdW68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6NPxDiRE2IaW16MO+uceiDqLAAQVG6QAw+yhmqCmv/nRYSHWq5XcYAd2liwlvE/yVjx0MGJe4LZEvE1xIshXQ==" saltValue="s2S6uj5VjIEssDF2Vk03W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LORCA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238</v>
      </c>
      <c r="D10" s="404">
        <f>IF(ISNUMBER(C10/Datos!BH10),C10/Datos!BH10," - ")</f>
        <v>238</v>
      </c>
      <c r="E10" s="403">
        <f>IF(ISNUMBER(Datos!J10),Datos!J10," - ")</f>
        <v>28</v>
      </c>
      <c r="F10" s="404">
        <f>IF(ISNUMBER(E10/B10),E10/B10," - ")</f>
        <v>28</v>
      </c>
      <c r="G10" s="403">
        <f>IF(ISNUMBER(Datos!K10),Datos!K10," - ")</f>
        <v>9</v>
      </c>
      <c r="H10" s="404">
        <f>IF(ISNUMBER(G10/B10),G10/B10," - ")</f>
        <v>9</v>
      </c>
      <c r="I10" s="403">
        <f>IF(ISNUMBER(Datos!L10),Datos!L10," - ")</f>
        <v>257</v>
      </c>
      <c r="J10" s="404">
        <f>IF(ISNUMBER(I10/B10),I10/B10," - ")</f>
        <v>257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7914</v>
      </c>
      <c r="D12" s="404">
        <f>IF(ISNUMBER(C12/Datos!BH12),C12/Datos!BH12," - ")</f>
        <v>1130.5714285714287</v>
      </c>
      <c r="E12" s="403">
        <f>IF(ISNUMBER(IF(J_V="SI",Datos!J12,Datos!J12+Datos!Z12)),IF(J_V="SI",Datos!J12,Datos!J12+Datos!Z12)," - ")</f>
        <v>1709</v>
      </c>
      <c r="F12" s="404">
        <f>IF(ISNUMBER(E12/B12),E12/B12," - ")</f>
        <v>213.625</v>
      </c>
      <c r="G12" s="403">
        <f>IF(ISNUMBER(IF(J_V="SI",Datos!K12,Datos!K12+Datos!AA12)),IF(J_V="SI",Datos!K12,Datos!K12+Datos!AA12)," - ")</f>
        <v>1215</v>
      </c>
      <c r="H12" s="404">
        <f>IF(ISNUMBER(G12/B12),G12/B12," - ")</f>
        <v>151.875</v>
      </c>
      <c r="I12" s="403">
        <f>IF(ISNUMBER(IF(J_V="SI",Datos!L12,Datos!L12+Datos!AB12)),IF(J_V="SI",Datos!L12,Datos!L12+Datos!AB12)," - ")</f>
        <v>8359</v>
      </c>
      <c r="J12" s="404">
        <f>IF(ISNUMBER(I12/B12),I12/B12," - ")</f>
        <v>1044.875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8152</v>
      </c>
      <c r="D13" s="850" t="str">
        <f>IF(ISNUMBER(C13/Datos!BI13),C13/Datos!BI13," - ")</f>
        <v xml:space="preserve"> - </v>
      </c>
      <c r="E13" s="849">
        <f>SUBTOTAL(9,E8:E12)</f>
        <v>1737</v>
      </c>
      <c r="F13" s="850">
        <f>IF(ISNUMBER(E13/B13),E13/B13," - ")</f>
        <v>217.125</v>
      </c>
      <c r="G13" s="849">
        <f>SUBTOTAL(9,G8:G12)</f>
        <v>1224</v>
      </c>
      <c r="H13" s="850">
        <f>IF(ISNUMBER(G13/B13),G13/B13," - ")</f>
        <v>153</v>
      </c>
      <c r="I13" s="849">
        <f>SUBTOTAL(9,I8:I12)</f>
        <v>8616</v>
      </c>
      <c r="J13" s="850">
        <f>IF(ISNUMBER(I13/B13),I13/B13," - ")</f>
        <v>1077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4885</v>
      </c>
      <c r="D16" s="404">
        <f>IF(ISNUMBER(C16/Datos!BH16),C16/Datos!BH16," - ")</f>
        <v>697.85714285714289</v>
      </c>
      <c r="E16" s="403">
        <f>IF(ISNUMBER(IF(D_I="SI",Datos!J16,Datos!J16+Datos!AD16)),IF(D_I="SI",Datos!J16,Datos!J16+Datos!AD16)," - ")</f>
        <v>1973</v>
      </c>
      <c r="F16" s="404">
        <f>IF(ISNUMBER(E16/B16),E16/B16," - ")</f>
        <v>246.625</v>
      </c>
      <c r="G16" s="403">
        <f>IF(ISNUMBER(IF(D_I="SI",Datos!K16,Datos!K16+Datos!AE16)),IF(D_I="SI",Datos!K16,Datos!K16+Datos!AE16)," - ")</f>
        <v>1602</v>
      </c>
      <c r="H16" s="404">
        <f>IF(ISNUMBER(G16/B16),G16/B16," - ")</f>
        <v>200.25</v>
      </c>
      <c r="I16" s="403">
        <f>IF(ISNUMBER(IF(D_I="SI",Datos!L16,Datos!L16+Datos!AF16)),IF(D_I="SI",Datos!L16,Datos!L16+Datos!AF16)," - ")</f>
        <v>5251</v>
      </c>
      <c r="J16" s="404">
        <f>IF(ISNUMBER(I16/B16),I16/B16," - ")</f>
        <v>656.375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693</v>
      </c>
      <c r="D17" s="404">
        <f>IF(ISNUMBER(C17/Datos!BH17),C17/Datos!BH17," - ")</f>
        <v>693</v>
      </c>
      <c r="E17" s="403">
        <f>IF(ISNUMBER(IF(D_I="SI",Datos!J17,Datos!J17+Datos!AD17)),IF(D_I="SI",Datos!J17,Datos!J17+Datos!AD17)," - ")</f>
        <v>102</v>
      </c>
      <c r="F17" s="404">
        <f>IF(ISNUMBER(E17/B17),E17/B17," - ")</f>
        <v>102</v>
      </c>
      <c r="G17" s="403">
        <f>IF(ISNUMBER(IF(D_I="SI",Datos!K17,Datos!K17+Datos!AE17)),IF(D_I="SI",Datos!K17,Datos!K17+Datos!AE17)," - ")</f>
        <v>74</v>
      </c>
      <c r="H17" s="404">
        <f>IF(ISNUMBER(G17/B17),G17/B17," - ")</f>
        <v>74</v>
      </c>
      <c r="I17" s="403">
        <f>IF(ISNUMBER(IF(D_I="SI",Datos!L17,Datos!L17+Datos!AF17)),IF(D_I="SI",Datos!L17,Datos!L17+Datos!AF17)," - ")</f>
        <v>721</v>
      </c>
      <c r="J17" s="404">
        <f>IF(ISNUMBER(I17/B17),I17/B17," - ")</f>
        <v>721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5578</v>
      </c>
      <c r="D18" s="850" t="str">
        <f>IF(ISNUMBER(C18/Datos!BI18),C18/Datos!BI18," - ")</f>
        <v xml:space="preserve"> - </v>
      </c>
      <c r="E18" s="849">
        <f>SUBTOTAL(9,E14:E17)</f>
        <v>2075</v>
      </c>
      <c r="F18" s="850">
        <f>IF(ISNUMBER(E18/B18),E18/B18," - ")</f>
        <v>259.375</v>
      </c>
      <c r="G18" s="849">
        <f>SUBTOTAL(9,G14:G17)</f>
        <v>1676</v>
      </c>
      <c r="H18" s="850">
        <f>IF(ISNUMBER(G18/B18),G18/B18," - ")</f>
        <v>209.5</v>
      </c>
      <c r="I18" s="849">
        <f>SUBTOTAL(9,I14:I17)</f>
        <v>5972</v>
      </c>
      <c r="J18" s="850">
        <f>IF(ISNUMBER(I18/B18),I18/B18," - ")</f>
        <v>746.5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13730</v>
      </c>
      <c r="D19" s="795" t="str">
        <f>IF(ISNUMBER(C19/Datos!BI19),C19/Datos!BI19," - ")</f>
        <v xml:space="preserve"> - </v>
      </c>
      <c r="E19" s="794">
        <f>SUBTOTAL(9,E9:E18)</f>
        <v>3812</v>
      </c>
      <c r="F19" s="795">
        <f>IF(ISNUMBER(E19/B19),E19/B19," - ")</f>
        <v>476.5</v>
      </c>
      <c r="G19" s="794">
        <f>SUBTOTAL(9,G9:G18)</f>
        <v>2900</v>
      </c>
      <c r="H19" s="795">
        <f>IF(ISNUMBER(G19/B19),G19/B19," - ")</f>
        <v>362.5</v>
      </c>
      <c r="I19" s="794">
        <f>SUBTOTAL(9,I9:I18)</f>
        <v>14588</v>
      </c>
      <c r="J19" s="795">
        <f>IF(ISNUMBER(I19/B19),I19/B19," - ")</f>
        <v>1823.5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PyRMzfs/GEVdomvExBs0GfS1P3vXPKSOfMZBT5lz+xCq/AxEVlxAGzI2oiL48Rce5O/V1t4d5JIg+iz878i6TA==" saltValue="gto6ZoCI/GWnR0AGPr2Ki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LORCA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238</v>
      </c>
      <c r="G10" s="684">
        <f>IF(ISNUMBER(Datos!I10),Datos!I10," - ")</f>
        <v>238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257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57.111111111111114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7089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183</v>
      </c>
      <c r="AM12" s="690">
        <f>IF(ISNUMBER(Datos!N12+DatosP!N16),Datos!N12+DatosP!N16," - ")</f>
        <v>685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13.759670781893004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-5.8190514149063371E-2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238</v>
      </c>
      <c r="G13" s="938">
        <f t="shared" si="0"/>
        <v>238</v>
      </c>
      <c r="H13" s="938">
        <f t="shared" si="0"/>
        <v>0</v>
      </c>
      <c r="I13" s="940">
        <f t="shared" si="0"/>
        <v>0</v>
      </c>
      <c r="J13" s="939">
        <f t="shared" si="0"/>
        <v>0</v>
      </c>
      <c r="K13" s="939">
        <f t="shared" si="0"/>
        <v>0</v>
      </c>
      <c r="L13" s="941">
        <f t="shared" si="0"/>
        <v>0</v>
      </c>
      <c r="M13" s="941">
        <f t="shared" si="0"/>
        <v>0</v>
      </c>
      <c r="N13" s="939">
        <f t="shared" si="0"/>
        <v>327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760</v>
      </c>
      <c r="AE13" s="939">
        <f t="shared" si="1"/>
        <v>0</v>
      </c>
      <c r="AF13" s="939">
        <f t="shared" si="1"/>
        <v>257</v>
      </c>
      <c r="AG13" s="939">
        <f t="shared" si="1"/>
        <v>0</v>
      </c>
      <c r="AH13" s="939">
        <f t="shared" si="1"/>
        <v>7089</v>
      </c>
      <c r="AI13" s="939">
        <f t="shared" si="1"/>
        <v>0</v>
      </c>
      <c r="AJ13" s="939">
        <f t="shared" si="1"/>
        <v>0</v>
      </c>
      <c r="AK13" s="939">
        <f t="shared" si="1"/>
        <v>0</v>
      </c>
      <c r="AL13" s="939">
        <f t="shared" si="1"/>
        <v>188</v>
      </c>
      <c r="AM13" s="939">
        <f t="shared" si="1"/>
        <v>686</v>
      </c>
      <c r="AN13" s="939">
        <f t="shared" si="1"/>
        <v>0</v>
      </c>
      <c r="AO13" s="939">
        <f t="shared" si="1"/>
        <v>0</v>
      </c>
      <c r="AP13" s="944">
        <f>IF(ISNUMBER(((Datos!L13/Datos!K13)*11)/factor_trimestre),((Datos!L13/Datos!K13)*11)/factor_trimestre," - ")</f>
        <v>14.263959390862944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-3.7815126050420166E-2</v>
      </c>
      <c r="AU13" s="939" t="str">
        <f>IF(ISNUMBER((DatosP!#REF!-DatosP!#REF!+DatosP!#REF!)/(DatosP!#REF!+DatosP!#REF!-DatosP!#REF!-DatosP!#REF!)),(DatosP!#REF!-DatosP!#REF!+DatosP!#REF!)/(DatosP!#REF!+DatosP!#REF!-DatosP!#REF!-DatosP!#REF!)," - ")</f>
        <v xml:space="preserve"> - </v>
      </c>
      <c r="AV13" s="945">
        <f>SUBTOTAL(9,AV9:AV12)</f>
        <v>-5.8190514149063371E-2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7.1264916467780433</v>
      </c>
      <c r="AQ18" s="944">
        <f>IF(ISNUMBER(((Datos!M18/Datos!L18)*11)/factor_trimestre),((Datos!M18/Datos!L18)*11)/factor_trimestre," - ")</f>
        <v>7.0997990622906904E-2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5.2863436123348019E-2</v>
      </c>
      <c r="AW18" s="946">
        <f>IF(ISNUMBER((Datos!Q18-Datos!R18)/(Datos!S18-Datos!Q18+Datos!R18)),(Datos!Q18-Datos!R18)/(Datos!S18-Datos!Q18+Datos!R18)," - ")</f>
        <v>-4.5930701047542308E-2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238</v>
      </c>
      <c r="G19" s="951">
        <f t="shared" si="4"/>
        <v>238</v>
      </c>
      <c r="H19" s="951">
        <f t="shared" si="4"/>
        <v>0</v>
      </c>
      <c r="I19" s="952">
        <f t="shared" si="4"/>
        <v>0</v>
      </c>
      <c r="J19" s="953">
        <f t="shared" si="4"/>
        <v>0</v>
      </c>
      <c r="K19" s="953">
        <f t="shared" si="4"/>
        <v>0</v>
      </c>
      <c r="L19" s="953">
        <f t="shared" si="4"/>
        <v>0</v>
      </c>
      <c r="M19" s="953">
        <f t="shared" si="4"/>
        <v>0</v>
      </c>
      <c r="N19" s="952">
        <f t="shared" si="4"/>
        <v>327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760</v>
      </c>
      <c r="AE19" s="957">
        <f t="shared" si="5"/>
        <v>0</v>
      </c>
      <c r="AF19" s="958">
        <f t="shared" si="5"/>
        <v>257</v>
      </c>
      <c r="AG19" s="958">
        <f t="shared" si="5"/>
        <v>0</v>
      </c>
      <c r="AH19" s="958">
        <f t="shared" si="5"/>
        <v>7089</v>
      </c>
      <c r="AI19" s="958">
        <f t="shared" si="5"/>
        <v>0</v>
      </c>
      <c r="AJ19" s="959">
        <f t="shared" si="5"/>
        <v>0</v>
      </c>
      <c r="AK19" s="959">
        <f t="shared" si="5"/>
        <v>0</v>
      </c>
      <c r="AL19" s="951">
        <f t="shared" si="5"/>
        <v>188</v>
      </c>
      <c r="AM19" s="951">
        <f t="shared" si="5"/>
        <v>686</v>
      </c>
      <c r="AN19" s="951">
        <f t="shared" si="5"/>
        <v>0</v>
      </c>
      <c r="AO19" s="951">
        <f t="shared" si="5"/>
        <v>0</v>
      </c>
      <c r="AP19" s="951">
        <f>IF(ISNUMBER(((Datos!L19/Datos!K19)*11)/factor_trimestre),((Datos!L19/Datos!K19)*11)/factor_trimestre," - ")</f>
        <v>10.078376487053884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-3.7815126050420166E-2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-5.3953607586825582E-2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158.66666666666666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137.40936406713095</v>
      </c>
      <c r="G21" s="737">
        <f>IF(ISNUMBER(STDEV(G8:G18)),STDEV(G8:G18),"-")</f>
        <v>137.40936406713095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105.69452839827298</v>
      </c>
      <c r="AM21" s="736"/>
      <c r="AN21" s="736">
        <f>IF(ISNUMBER(STDEV(AN8:AN18)),STDEV(AN8:AN18),"-")</f>
        <v>0</v>
      </c>
      <c r="AO21" s="742">
        <f>IF(ISNUMBER(STDEV(AO8:AO18)),STDEV(AO8:AO18),"-")</f>
        <v>0</v>
      </c>
      <c r="AP21" s="779">
        <f>IF(ISNUMBER(STDEV(AP8:AP18)),STDEV(AP8:AP18),"-")</f>
        <v>22.929029617472949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GPWShPo4/PVU8S4jnuskm6OM5KYC78ad10jdM9P2LmSwb60ROGsWZQQg51/THbCpxOF8E5/SdVeftxjPDdbAw==" saltValue="0+lmXZpN8XZ28jDR5SXL1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LORCA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1.1428571428571428</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1.1428571428571428</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EMwB7q2rNg/DdDbq0BDMevmbC5pvbV7B+IhOI9cs8FAV1tZumTxfIgTCanqfckwEwZLsKekKV/+kEZpd1iOw==" saltValue="5E71szl/sjW96SjXT+b9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LORCA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183</v>
      </c>
      <c r="E12" s="404">
        <f t="shared" si="0"/>
        <v>22.875</v>
      </c>
      <c r="F12" s="403">
        <f>IF(ISNUMBER(Datos!N12),Datos!N12," - ")</f>
        <v>685</v>
      </c>
      <c r="G12" s="404">
        <f t="shared" si="1"/>
        <v>85.625</v>
      </c>
      <c r="H12" s="403">
        <f>IF(ISNUMBER(Datos!O12),Datos!O12," - ")</f>
        <v>530</v>
      </c>
      <c r="I12" s="404">
        <f t="shared" si="2"/>
        <v>66.25</v>
      </c>
      <c r="BZ12" s="1186">
        <f>Datos!EZ12</f>
        <v>0</v>
      </c>
    </row>
    <row r="13" spans="1:78" ht="14.25" thickTop="1" thickBot="1">
      <c r="A13" s="848" t="str">
        <f>Datos!A13</f>
        <v>TOTAL</v>
      </c>
      <c r="B13" s="849">
        <f>Datos!AP13</f>
        <v>8</v>
      </c>
      <c r="C13" s="851">
        <f>Datos!AR13</f>
        <v>8</v>
      </c>
      <c r="D13" s="849">
        <f>SUBTOTAL(9,D9:D12)</f>
        <v>188</v>
      </c>
      <c r="E13" s="850">
        <f t="shared" si="0"/>
        <v>23.5</v>
      </c>
      <c r="F13" s="849">
        <f>SUBTOTAL(9,F9:F12)</f>
        <v>686</v>
      </c>
      <c r="G13" s="850">
        <f t="shared" si="1"/>
        <v>85.75</v>
      </c>
      <c r="H13" s="849">
        <f>SUBTOTAL(9,H9:H12)</f>
        <v>530</v>
      </c>
      <c r="I13" s="850">
        <f>IF(ISNUMBER(H13/B13),H13/B13," - ")</f>
        <v>66.25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178</v>
      </c>
      <c r="E16" s="404">
        <f t="shared" si="3"/>
        <v>22.25</v>
      </c>
      <c r="F16" s="403">
        <f>IF(ISNUMBER(Datos!N16),Datos!N16," - ")</f>
        <v>1018</v>
      </c>
      <c r="G16" s="404">
        <f t="shared" si="4"/>
        <v>127.25</v>
      </c>
      <c r="H16" s="403">
        <f>IF(ISNUMBER(Datos!O16),Datos!O16," - ")</f>
        <v>7</v>
      </c>
      <c r="I16" s="404">
        <f t="shared" si="5"/>
        <v>0.875</v>
      </c>
      <c r="BZ16" s="1186">
        <f>Datos!EZ16</f>
        <v>0</v>
      </c>
    </row>
    <row r="17" spans="1:78" ht="13.5" thickBot="1">
      <c r="A17" s="402" t="str">
        <f>Datos!A17</f>
        <v>Jdos. Violencia contra la mujer</v>
      </c>
      <c r="B17" s="427">
        <f>Datos!AO17</f>
        <v>1</v>
      </c>
      <c r="C17" s="428">
        <f>Datos!AQ17</f>
        <v>0</v>
      </c>
      <c r="D17" s="403">
        <f>IF(ISNUMBER(Datos!M17),Datos!M17," - ")</f>
        <v>34</v>
      </c>
      <c r="E17" s="404">
        <f>IF(ISNUMBER(D17/B17),D17/B17," - ")</f>
        <v>34</v>
      </c>
      <c r="F17" s="403">
        <f>IF(ISNUMBER(Datos!N17),Datos!N17," - ")</f>
        <v>62</v>
      </c>
      <c r="G17" s="404">
        <f>IF(ISNUMBER(F17/B17),F17/B17," - ")</f>
        <v>62</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212</v>
      </c>
      <c r="E18" s="850">
        <f t="shared" si="3"/>
        <v>26.5</v>
      </c>
      <c r="F18" s="849">
        <f>SUBTOTAL(9,F15:F17)</f>
        <v>1080</v>
      </c>
      <c r="G18" s="850">
        <f t="shared" si="4"/>
        <v>135</v>
      </c>
      <c r="H18" s="849">
        <f>SUBTOTAL(9,H15:H17)</f>
        <v>7</v>
      </c>
      <c r="I18" s="850">
        <f>IF(ISNUMBER(H18/B18),H18/B18," - ")</f>
        <v>0.875</v>
      </c>
      <c r="BZ18" s="1186"/>
    </row>
    <row r="19" spans="1:78" ht="14.25" thickTop="1" thickBot="1">
      <c r="A19" s="793" t="str">
        <f>Datos!A19</f>
        <v>TOTAL JURISDICCIONES</v>
      </c>
      <c r="B19" s="794">
        <f>Datos!AP19</f>
        <v>8</v>
      </c>
      <c r="C19" s="794">
        <f>Datos!AR19</f>
        <v>8</v>
      </c>
      <c r="D19" s="794">
        <f>SUBTOTAL(9,D8:D18)</f>
        <v>400</v>
      </c>
      <c r="E19" s="795">
        <f>IF(ISNUMBER(D19/B19),D19/B19," - ")</f>
        <v>50</v>
      </c>
      <c r="F19" s="794">
        <f>SUBTOTAL(9,F8:F18)</f>
        <v>1766</v>
      </c>
      <c r="G19" s="795">
        <f>IF(ISNUMBER(F19/B19),F19/B19," - ")</f>
        <v>220.75</v>
      </c>
      <c r="H19" s="794">
        <f>SUBTOTAL(9,H8:H18)</f>
        <v>537</v>
      </c>
      <c r="I19" s="795">
        <f>IF(ISNUMBER(H19/B19),H19/B19," - ")</f>
        <v>67.125</v>
      </c>
    </row>
    <row r="22" spans="1:78">
      <c r="A22" s="391" t="str">
        <f>Criterios!A4</f>
        <v>Fecha Informe: 29 nov. 2024</v>
      </c>
    </row>
    <row r="27" spans="1:78">
      <c r="A27" s="414"/>
    </row>
  </sheetData>
  <sheetProtection algorithmName="SHA-512" hashValue="PUO0fteIzUFTCG/Vstiq6UfFHF1ML6CON6CkVZ1oZSnyboxVEYObZ4BUzoMr5E9FtfNcS/3odAjXQKWK//cPFw==" saltValue="qFfzF8NjCyjMTUJrFAPV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LORCA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0</v>
      </c>
      <c r="D10" s="408">
        <f>IF(ISNUMBER(Datos!R10),Datos!R10," - ")</f>
        <v>54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322</v>
      </c>
      <c r="C12" s="434">
        <f>IF(ISNUMBER(Datos!Q12),Datos!Q12," - ")</f>
        <v>760</v>
      </c>
      <c r="D12" s="408">
        <f>IF(ISNUMBER(Datos!R12),Datos!R12," - ")</f>
        <v>7089</v>
      </c>
    </row>
    <row r="13" spans="1:4" ht="14.25" thickTop="1" thickBot="1">
      <c r="A13" s="848" t="str">
        <f>Datos!A13</f>
        <v>TOTAL</v>
      </c>
      <c r="B13" s="849">
        <f>SUBTOTAL(9,B9:B12)</f>
        <v>327</v>
      </c>
      <c r="C13" s="853">
        <f>SUBTOTAL(9,C9:C12)</f>
        <v>760</v>
      </c>
      <c r="D13" s="851">
        <f>SUBTOTAL(9,D9:D12)</f>
        <v>7143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11</v>
      </c>
      <c r="D16" s="408">
        <f>IF(ISNUMBER(Datos!R16),Datos!R16," - ")</f>
        <v>225</v>
      </c>
    </row>
    <row r="17" spans="1:4" ht="13.5" thickBot="1">
      <c r="A17" s="402" t="str">
        <f>Datos!A17</f>
        <v>Jdos. Violencia contra la mujer</v>
      </c>
      <c r="B17" s="433">
        <f>IF(ISNUMBER(Datos!P17),Datos!P17," - ")</f>
        <v>1</v>
      </c>
      <c r="C17" s="434">
        <f>IF(ISNUMBER(Datos!Q17),Datos!Q17," - ")</f>
        <v>0</v>
      </c>
      <c r="D17" s="408">
        <f>IF(ISNUMBER(Datos!R17),Datos!R17," - ")</f>
        <v>14</v>
      </c>
    </row>
    <row r="18" spans="1:4" ht="14.25" thickTop="1" thickBot="1">
      <c r="A18" s="848" t="str">
        <f>Datos!A18</f>
        <v>TOTAL</v>
      </c>
      <c r="B18" s="849">
        <f>SUBTOTAL(9,B15:B17)</f>
        <v>23</v>
      </c>
      <c r="C18" s="853">
        <f>SUBTOTAL(9,C15:C17)</f>
        <v>11</v>
      </c>
      <c r="D18" s="851">
        <f>SUBTOTAL(9,D15:D17)</f>
        <v>239</v>
      </c>
    </row>
    <row r="19" spans="1:4" ht="16.5" customHeight="1" thickTop="1" thickBot="1">
      <c r="A19" s="793" t="str">
        <f>Datos!A19</f>
        <v>TOTAL JURISDICCIONES</v>
      </c>
      <c r="B19" s="798">
        <f>SUBTOTAL(9,B8:B18)</f>
        <v>350</v>
      </c>
      <c r="C19" s="799">
        <f>SUBTOTAL(9,C8:C18)</f>
        <v>771</v>
      </c>
      <c r="D19" s="800">
        <f>SUBTOTAL(9,D8:D18)</f>
        <v>7382</v>
      </c>
    </row>
    <row r="20" spans="1:4" ht="7.5" customHeight="1"/>
    <row r="21" spans="1:4" ht="6" customHeight="1"/>
    <row r="22" spans="1:4">
      <c r="A22" s="391" t="str">
        <f>Criterios!A4</f>
        <v>Fecha Informe: 29 nov. 2024</v>
      </c>
    </row>
    <row r="27" spans="1:4">
      <c r="A27" s="414"/>
    </row>
  </sheetData>
  <sheetProtection algorithmName="SHA-512" hashValue="W1vRIPabh0KRJ98Vq1umPOmLlMxEjQRg5cvywd09Is7ZoRZhaZN56f1yV5myNrQjIf/IHT2hOTgMsE9sKRwJHw==" saltValue="sSz0LjwYibL0scCWKMICV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LORCA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0.40828402366863903</v>
      </c>
      <c r="C10" s="456">
        <f>IF(ISNUMBER((Datos!J10-Datos!T10)/Datos!T10),(Datos!J10-Datos!T10)/Datos!T10," - ")</f>
        <v>1.8</v>
      </c>
      <c r="D10" s="456">
        <f>IF(ISNUMBER((Datos!K10-Datos!U10)/Datos!U10),(Datos!K10-Datos!U10)/Datos!U10," - ")</f>
        <v>0</v>
      </c>
      <c r="E10" s="456">
        <f>IF(ISNUMBER((Datos!L10-Datos!V10)/Datos!V10),(Datos!L10-Datos!V10)/Datos!V10," - ")</f>
        <v>0.52976190476190477</v>
      </c>
      <c r="F10" s="456">
        <f>IF(ISNUMBER((Datos!M10-Datos!W10)/Datos!W10),(Datos!M10-Datos!W10)/Datos!W10," - ")</f>
        <v>0</v>
      </c>
      <c r="G10" s="457">
        <f>IF(ISNUMBER((Datos!N10-Datos!X10)/Datos!X10),(Datos!N10-Datos!X10)/Datos!X10," - ")</f>
        <v>-0.66666666666666663</v>
      </c>
      <c r="H10" s="455">
        <f>IF(ISNUMBER(((NºAsuntos!G10/NºAsuntos!E10)-Datos!BD10)/Datos!BD10),((NºAsuntos!G10/NºAsuntos!E10)-Datos!BD10)/Datos!BD10," - ")</f>
        <v>-0.64285714285714279</v>
      </c>
      <c r="I10" s="456">
        <f>IF(ISNUMBER(((NºAsuntos!I10/NºAsuntos!G10)-Datos!BE10)/Datos!BE10),((NºAsuntos!I10/NºAsuntos!G10)-Datos!BE10)/Datos!BE10," - ")</f>
        <v>0.52976190476190477</v>
      </c>
      <c r="J10" s="461">
        <f>IF(ISNUMBER((('Resol  Asuntos'!D10/NºAsuntos!G10)-Datos!BF10)/Datos!BF10),(('Resol  Asuntos'!D10/NºAsuntos!G10)-Datos!BF10)/Datos!BF10," - ")</f>
        <v>0</v>
      </c>
      <c r="K10" s="462">
        <f>IF(ISNUMBER((((NºAsuntos!C10+NºAsuntos!E10)/NºAsuntos!G10)-Datos!BG10)/Datos!BG10),(((NºAsuntos!C10+NºAsuntos!E10)/NºAsuntos!G10)-Datos!BG10)/Datos!BG10," - ")</f>
        <v>0.48603351955307267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0.87136438874438404</v>
      </c>
      <c r="C12" s="456">
        <f>IF(ISNUMBER(
   IF(J_V="SI",(Datos!J12-Datos!T12)/Datos!T12,(Datos!J12+Datos!Z12-(Datos!T12+Datos!AH12))/(Datos!T12+Datos!AH12))
     ),IF(J_V="SI",(Datos!J12-Datos!T12)/Datos!T12,(Datos!J12+Datos!Z12-(Datos!T12+Datos!AH12))/(Datos!T12+Datos!AH12))," - ")</f>
        <v>-0.26652360515021462</v>
      </c>
      <c r="D12" s="456">
        <f>IF(ISNUMBER(
   IF(J_V="SI",(Datos!K12-Datos!U12)/Datos!U12,(Datos!K12+Datos!AA12-(Datos!U12+Datos!AI12))/(Datos!U12+Datos!AI12))
     ),IF(J_V="SI",(Datos!K12-Datos!U12)/Datos!U12,(Datos!K12+Datos!AA12-(Datos!U12+Datos!AI12))/(Datos!U12+Datos!AI12))," - ")</f>
        <v>0.65306122448979587</v>
      </c>
      <c r="E12" s="456">
        <f>IF(ISNUMBER(
   IF(J_V="SI",(Datos!L12-Datos!V12)/Datos!V12,(Datos!L12+Datos!AB12-(Datos!V12+Datos!AJ12))/(Datos!V12+Datos!AJ12))
     ),IF(J_V="SI",(Datos!L12-Datos!V12)/Datos!V12,(Datos!L12+Datos!AB12-(Datos!V12+Datos!AJ12))/(Datos!V12+Datos!AJ12))," - ")</f>
        <v>0.4342827728208648</v>
      </c>
      <c r="F12" s="456">
        <f>IF(ISNUMBER((Datos!M12-Datos!W12)/Datos!W12),(Datos!M12-Datos!W12)/Datos!W12," - ")</f>
        <v>0.10240963855421686</v>
      </c>
      <c r="G12" s="457">
        <f>IF(ISNUMBER((Datos!N12-Datos!X12)/Datos!X12),(Datos!N12-Datos!X12)/Datos!X12," - ")</f>
        <v>0.71250000000000002</v>
      </c>
      <c r="H12" s="455">
        <f>IF(ISNUMBER(((NºAsuntos!G12/NºAsuntos!E12)-Datos!BD12)/Datos!BD12),((NºAsuntos!G12/NºAsuntos!E12)-Datos!BD12)/Datos!BD12," - ")</f>
        <v>1.2537347297022965</v>
      </c>
      <c r="I12" s="456">
        <f>IF(ISNUMBER(((NºAsuntos!I12/NºAsuntos!G12)-Datos!BE12)/Datos!BE12),((NºAsuntos!I12/NºAsuntos!G12)-Datos!BE12)/Datos!BE12," - ")</f>
        <v>-0.13234745841700774</v>
      </c>
      <c r="J12" s="461">
        <f>IF(ISNUMBER((('Resol  Asuntos'!D12/NºAsuntos!G12)-Datos!BF12)/Datos!BF12),(('Resol  Asuntos'!D12/NºAsuntos!G12)-Datos!BF12)/Datos!BF12," - ")</f>
        <v>-0.72324074074074074</v>
      </c>
      <c r="K12" s="462">
        <f>IF(ISNUMBER((((NºAsuntos!C12+NºAsuntos!E12)/NºAsuntos!G12)-Datos!BG12)/Datos!BG12),(((NºAsuntos!C12+NºAsuntos!E12)/NºAsuntos!G12)-Datos!BG12)/Datos!BG12," - ")</f>
        <v>-0.11246821349987485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0.85356980445657116</v>
      </c>
      <c r="C13" s="855">
        <f>IF(ISNUMBER(
   IF(J_V="SI",(Datos!J13-Datos!T13)/Datos!T13,(Datos!J13+Datos!Z13-(Datos!T13+Datos!AH13))/(Datos!T13+Datos!AH13))
     ),IF(J_V="SI",(Datos!J13-Datos!T13)/Datos!T13,(Datos!J13+Datos!Z13-(Datos!T13+Datos!AH13))/(Datos!T13+Datos!AH13))," - ")</f>
        <v>-0.25769230769230766</v>
      </c>
      <c r="D13" s="855">
        <f>IF(ISNUMBER(
   IF(J_V="SI",(Datos!K13-Datos!U13)/Datos!U13,(Datos!K13+Datos!AA13-(Datos!U13+Datos!AI13))/(Datos!U13+Datos!AI13))
     ),IF(J_V="SI",(Datos!K13-Datos!U13)/Datos!U13,(Datos!K13+Datos!AA13-(Datos!U13+Datos!AI13))/(Datos!U13+Datos!AI13))," - ")</f>
        <v>0.64516129032258063</v>
      </c>
      <c r="E13" s="855">
        <f>IF(ISNUMBER(
   IF(J_V="SI",(Datos!L13-Datos!V13)/Datos!V13,(Datos!L13+Datos!AB13-(Datos!V13+Datos!AJ13))/(Datos!V13+Datos!AJ13))
     ),IF(J_V="SI",(Datos!L13-Datos!V13)/Datos!V13,(Datos!L13+Datos!AB13-(Datos!V13+Datos!AJ13))/(Datos!V13+Datos!AJ13))," - ")</f>
        <v>0.43695797198132086</v>
      </c>
      <c r="F13" s="856">
        <f>IF(ISNUMBER((Datos!M13-Datos!W13)/Datos!W13),(Datos!M13-Datos!W13)/Datos!W13," - ")</f>
        <v>9.9415204678362568E-2</v>
      </c>
      <c r="G13" s="857">
        <f>IF(ISNUMBER((Datos!N13-Datos!X13)/Datos!X13),(Datos!N13-Datos!X13)/Datos!X13," - ")</f>
        <v>0.70223325062034736</v>
      </c>
      <c r="H13" s="857">
        <f>IF(ISNUMBER(((NºAsuntos!G13/NºAsuntos!E13)-Datos!BD13)/Datos!BD13),((NºAsuntos!G13/NºAsuntos!E13)-Datos!BD13)/Datos!BD13," - ")</f>
        <v>1.2162794584656527</v>
      </c>
      <c r="I13" s="857">
        <f>IF(ISNUMBER(((NºAsuntos!I13/NºAsuntos!G13)-Datos!BE13)/Datos!BE13),((NºAsuntos!I13/NºAsuntos!G13)-Datos!BE13)/Datos!BE13," - ")</f>
        <v>-0.12655495820743237</v>
      </c>
      <c r="J13" s="857">
        <f>IF(ISNUMBER((('Resol  Asuntos'!D13/NºAsuntos!G13)-Datos!BF13)/Datos!BF13),(('Resol  Asuntos'!D13/NºAsuntos!G13)-Datos!BF13)/Datos!BF13," - ")</f>
        <v>-0.71784071653352699</v>
      </c>
      <c r="K13" s="857">
        <f>IF(ISNUMBER((((NºAsuntos!C13+NºAsuntos!E13)/NºAsuntos!G13)-Datos!BG13)/Datos!BG13),(((NºAsuntos!C13+NºAsuntos!E13)/NºAsuntos!G13)-Datos!BG13)/Datos!BG13," - ")</f>
        <v>-0.10790133803595645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0.18740884783665532</v>
      </c>
      <c r="C16" s="456">
        <f>IF(ISNUMBER(
   IF(D_I="SI",(Datos!J16-Datos!T16)/Datos!T16,(Datos!J16+Datos!AD16-(Datos!T16+Datos!AL16))/(Datos!T16+Datos!AL16))
     ),IF(D_I="SI",(Datos!J16-Datos!T16)/Datos!T16,(Datos!J16+Datos!AD16-(Datos!T16+Datos!AL16))/(Datos!T16+Datos!AL16))," - ")</f>
        <v>-0.11484970838941229</v>
      </c>
      <c r="D16" s="456">
        <f>IF(ISNUMBER(
   IF(D_I="SI",(Datos!K16-Datos!U16)/Datos!U16,(Datos!K16+Datos!AE16-(Datos!U16+Datos!AM16))/(Datos!U16+Datos!AM16))
     ),IF(D_I="SI",(Datos!K16-Datos!U16)/Datos!U16,(Datos!K16+Datos!AE16-(Datos!U16+Datos!AM16))/(Datos!U16+Datos!AM16))," - ")</f>
        <v>0.16849015317286653</v>
      </c>
      <c r="E16" s="456">
        <f>IF(ISNUMBER(
   IF(D_I="SI",(Datos!L16-Datos!V16)/Datos!V16,(Datos!L16+Datos!AF16-(Datos!V16+Datos!AN16))/(Datos!V16+Datos!AN16))
     ),IF(D_I="SI",(Datos!L16-Datos!V16)/Datos!V16,(Datos!L16+Datos!AF16-(Datos!V16+Datos!AN16))/(Datos!V16+Datos!AN16))," - ")</f>
        <v>7.3604579840523404E-2</v>
      </c>
      <c r="F16" s="456">
        <f>IF(ISNUMBER((Datos!M16-Datos!W16)/Datos!W16),(Datos!M16-Datos!W16)/Datos!W16," - ")</f>
        <v>0.56140350877192979</v>
      </c>
      <c r="G16" s="457">
        <f>IF(ISNUMBER((Datos!N16-Datos!X16)/Datos!X16),(Datos!N16-Datos!X16)/Datos!X16," - ")</f>
        <v>2.004008016032064E-2</v>
      </c>
      <c r="H16" s="455">
        <f>IF(ISNUMBER(((NºAsuntos!G16/NºAsuntos!E16)-Datos!BD16)/Datos!BD16),((NºAsuntos!G16/NºAsuntos!E16)-Datos!BD16)/Datos!BD16," - ")</f>
        <v>0.32010367532808903</v>
      </c>
      <c r="I16" s="456">
        <f>IF(ISNUMBER(((NºAsuntos!I16/NºAsuntos!G16)-Datos!BE16)/Datos!BE16),((NºAsuntos!I16/NºAsuntos!G16)-Datos!BE16)/Datos!BE16," - ")</f>
        <v>-8.1203571185170104E-2</v>
      </c>
      <c r="J16" s="461">
        <f>IF(ISNUMBER((('Resol  Asuntos'!D16/NºAsuntos!G16)-Datos!BF16)/Datos!BF16),(('Resol  Asuntos'!D16/NºAsuntos!G16)-Datos!BF16)/Datos!BF16," - ")</f>
        <v>0.33625730994152048</v>
      </c>
      <c r="K16" s="462">
        <f>IF(ISNUMBER((((NºAsuntos!C16+NºAsuntos!E16)/NºAsuntos!G16)-Datos!BG16)/Datos!BG16),(((NºAsuntos!C16+NºAsuntos!E16)/NºAsuntos!G16)-Datos!BG16)/Datos!BG16," - ")</f>
        <v>-7.4710332721021261E-2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0.11414790996784566</v>
      </c>
      <c r="C17" s="456">
        <f>IF(ISNUMBER(
   IF(D_I="SI",(Datos!J17-Datos!T17)/Datos!T17,(Datos!J17+Datos!AD17-(Datos!T17+Datos!AL17))/(Datos!T17+Datos!AL17))
     ),IF(D_I="SI",(Datos!J17-Datos!T17)/Datos!T17,(Datos!J17+Datos!AD17-(Datos!T17+Datos!AL17))/(Datos!T17+Datos!AL17))," - ")</f>
        <v>-0.46875</v>
      </c>
      <c r="D17" s="456">
        <f>IF(ISNUMBER(
   IF(D_I="SI",(Datos!K17-Datos!U17)/Datos!U17,(Datos!K17+Datos!AE17-(Datos!U17+Datos!AM17))/(Datos!U17+Datos!AM17))
     ),IF(D_I="SI",(Datos!K17-Datos!U17)/Datos!U17,(Datos!K17+Datos!AE17-(Datos!U17+Datos!AM17))/(Datos!U17+Datos!AM17))," - ")</f>
        <v>-0.58192090395480223</v>
      </c>
      <c r="E17" s="456">
        <f>IF(ISNUMBER(
   IF(D_I="SI",(Datos!L17-Datos!V17)/Datos!V17,(Datos!L17+Datos!AF17-(Datos!V17+Datos!AN17))/(Datos!V17+Datos!AN17))
     ),IF(D_I="SI",(Datos!L17-Datos!V17)/Datos!V17,(Datos!L17+Datos!AF17-(Datos!V17+Datos!AN17))/(Datos!V17+Datos!AN17))," - ")</f>
        <v>0.3351851851851852</v>
      </c>
      <c r="F17" s="456">
        <f>IF(ISNUMBER((Datos!M17-Datos!W17)/Datos!W17),(Datos!M17-Datos!W17)/Datos!W17," - ")</f>
        <v>-0.6</v>
      </c>
      <c r="G17" s="457">
        <f>IF(ISNUMBER((Datos!N17-Datos!X17)/Datos!X17),(Datos!N17-Datos!X17)/Datos!X17," - ")</f>
        <v>-0.38613861386138615</v>
      </c>
      <c r="H17" s="455">
        <f>IF(ISNUMBER(((NºAsuntos!G17/NºAsuntos!E17)-Datos!BD17)/Datos!BD17),((NºAsuntos!G17/NºAsuntos!E17)-Datos!BD17)/Datos!BD17," - ")</f>
        <v>-0.21302758391492194</v>
      </c>
      <c r="I17" s="456">
        <f>IF(ISNUMBER(((NºAsuntos!I17/NºAsuntos!G17)-Datos!BE17)/Datos!BE17),((NºAsuntos!I17/NºAsuntos!G17)-Datos!BE17)/Datos!BE17," - ")</f>
        <v>2.1936186186186188</v>
      </c>
      <c r="J17" s="461">
        <f>IF(ISNUMBER((('Resol  Asuntos'!D17/NºAsuntos!G17)-Datos!BF17)/Datos!BF17),(('Resol  Asuntos'!D17/NºAsuntos!G17)-Datos!BF17)/Datos!BF17," - ")</f>
        <v>-4.3243243243243225E-2</v>
      </c>
      <c r="K17" s="462">
        <f>IF(ISNUMBER((((NºAsuntos!C17+NºAsuntos!E17)/NºAsuntos!G17)-Datos!BG17)/Datos!BG17),(((NºAsuntos!C17+NºAsuntos!E17)/NºAsuntos!G17)-Datos!BG17)/Datos!BG17," - ")</f>
        <v>1.3360614914668971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0.17778716216216217</v>
      </c>
      <c r="C18" s="855">
        <f>IF(ISNUMBER(
   IF(Criterios!B14="SI",(Datos!J18-Datos!T18)/Datos!T18,(Datos!J18+Datos!AD18-(Datos!T18+Datos!AL18))/(Datos!T18+Datos!AL18))
     ),IF(Criterios!B14="SI",(Datos!J18-Datos!T18)/Datos!T18,(Datos!J18+Datos!AD18-(Datos!T18+Datos!AL18))/(Datos!T18+Datos!AL18))," - ")</f>
        <v>-0.14291615035109459</v>
      </c>
      <c r="D18" s="855">
        <f>IF(ISNUMBER(
   IF(Criterios!B14="SI",(Datos!K18-Datos!U18)/Datos!U18,(Datos!K18+Datos!AE18-(Datos!U18+Datos!AM18))/(Datos!U18+Datos!AM18))
     ),IF(Criterios!B14="SI",(Datos!K18-Datos!U18)/Datos!U18,(Datos!K18+Datos!AE18-(Datos!U18+Datos!AM18))/(Datos!U18+Datos!AM18))," - ")</f>
        <v>8.2687338501291993E-2</v>
      </c>
      <c r="E18" s="855">
        <f>IF(ISNUMBER(
   IF(Criterios!B14="SI",(Datos!L18-Datos!V18)/Datos!V18,(Datos!L18+Datos!AF18-(Datos!V18+Datos!AN18))/(Datos!V18+Datos!AN18))
     ),IF(Criterios!B14="SI",(Datos!L18-Datos!V18)/Datos!V18,(Datos!L18+Datos!AF18-(Datos!V18+Datos!AN18))/(Datos!V18+Datos!AN18))," - ")</f>
        <v>9.9613330878291287E-2</v>
      </c>
      <c r="F18" s="856">
        <f>IF(ISNUMBER((Datos!M18-Datos!W18)/Datos!W18),(Datos!M18-Datos!W18)/Datos!W18," - ")</f>
        <v>6.5326633165829151E-2</v>
      </c>
      <c r="G18" s="857">
        <f>IF(ISNUMBER((Datos!N18-Datos!X18)/Datos!X18),(Datos!N18-Datos!X18)/Datos!X18," - ")</f>
        <v>-1.7288444040036398E-2</v>
      </c>
      <c r="H18" s="857">
        <f>IF(ISNUMBER(((NºAsuntos!G18/NºAsuntos!E18)-Datos!BD18)/Datos!BD18),((NºAsuntos!G18/NºAsuntos!E18)-Datos!BD18)/Datos!BD18," - ")</f>
        <v>0.26322219108994127</v>
      </c>
      <c r="I18" s="857">
        <f>IF(ISNUMBER(((NºAsuntos!I18/NºAsuntos!G18)-Datos!BE18)/Datos!BE18),((NºAsuntos!I18/NºAsuntos!G18)-Datos!BE18)/Datos!BE18," - ")</f>
        <v>1.5633315154889648E-2</v>
      </c>
      <c r="J18" s="857">
        <f>IF(ISNUMBER((('Resol  Asuntos'!D18/NºAsuntos!G18)-Datos!BF18)/Datos!BF18),(('Resol  Asuntos'!D18/NºAsuntos!G18)-Datos!BF18)/Datos!BF18," - ")</f>
        <v>-1.6034828078339249E-2</v>
      </c>
      <c r="K18" s="857">
        <f>IF(ISNUMBER((((NºAsuntos!C18+NºAsuntos!E18)/NºAsuntos!G18)-Datos!BG18)/Datos!BG18),(((NºAsuntos!C18+NºAsuntos!E18)/NºAsuntos!G18)-Datos!BG18)/Datos!BG18," - ")</f>
        <v>-1.2362348325970917E-2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0.50317495073352314</v>
      </c>
      <c r="C19" s="802">
        <f>IF(ISNUMBER(
   IF(J_V="SI",(Datos!J19-Datos!T19)/Datos!T19,(Datos!J19+Datos!Z19-(Datos!T19+Datos!AH19))/(Datos!T19+Datos!AH19))
     ),IF(J_V="SI",(Datos!J19-Datos!T19)/Datos!T19,(Datos!J19+Datos!Z19-(Datos!T19+Datos!AH19))/(Datos!T19+Datos!AH19))," - ")</f>
        <v>-0.1993278722957362</v>
      </c>
      <c r="D19" s="802">
        <f>IF(ISNUMBER(
   IF(J_V="SI",(Datos!K19-Datos!U19)/Datos!U19,(Datos!K19+Datos!AA19-(Datos!U19+Datos!AI19))/(Datos!U19+Datos!AI19))
     ),IF(J_V="SI",(Datos!K19-Datos!U19)/Datos!U19,(Datos!K19+Datos!AA19-(Datos!U19+Datos!AI19))/(Datos!U19+Datos!AI19))," - ")</f>
        <v>0.26527050610820246</v>
      </c>
      <c r="E19" s="802">
        <f>IF(ISNUMBER(
   IF(J_V="SI",(Datos!L19-Datos!V19)/Datos!V19,(Datos!L19+Datos!AB19-(Datos!V19+Datos!AJ19))/(Datos!V19+Datos!AJ19))
     ),IF(J_V="SI",(Datos!L19-Datos!V19)/Datos!V19,(Datos!L19+Datos!AB19-(Datos!V19+Datos!AJ19))/(Datos!V19+Datos!AJ19))," - ")</f>
        <v>0.27662553601120154</v>
      </c>
      <c r="F19" s="803">
        <f>IF(ISNUMBER((Datos!M19-Datos!W19)/Datos!W19),(Datos!M19-Datos!W19)/Datos!W19," - ")</f>
        <v>8.1081081081081086E-2</v>
      </c>
      <c r="G19" s="804">
        <f>IF(ISNUMBER((Datos!N19-Datos!X19)/Datos!X19),(Datos!N19-Datos!X19)/Datos!X19," - ")</f>
        <v>0.17576564580559254</v>
      </c>
      <c r="H19" s="805">
        <f>IF(ISNUMBER((Tasas!B19-Datos!BD19)/Datos!BD19),(Tasas!B19-Datos!BD19)/Datos!BD19," - ")</f>
        <v>0.58026046159001876</v>
      </c>
      <c r="I19" s="806">
        <f>IF(ISNUMBER((Tasas!C19-Datos!BE19)/Datos!BE19),(Tasas!C19-Datos!BE19)/Datos!BE19," - ")</f>
        <v>8.9743891509221265E-3</v>
      </c>
      <c r="J19" s="807">
        <f>IF(ISNUMBER((Tasas!D19-Datos!BF19)/Datos!BF19),(Tasas!D19-Datos!BF19)/Datos!BF19," - ")</f>
        <v>-0.47659282941310799</v>
      </c>
      <c r="K19" s="807">
        <f>IF(ISNUMBER((Tasas!E19-Datos!BG19)/Datos!BG19),(Tasas!E19-Datos!BG19)/Datos!BG19," - ")</f>
        <v>-2.2145400851211316E-3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x9MyfzMz6O5u+yW0zVcO10hHhr625VnzbhpYqg/qlDKZv+DttgP1olthAPELY6P9A638IpFclNkegS9aVfaxg==" saltValue="HSsHTlPAlJFNBlQG9R1l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LORCA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0.32142857142857145</v>
      </c>
      <c r="C10" s="443">
        <f>IF(ISNUMBER(NºAsuntos!I10/NºAsuntos!G10),NºAsuntos!I10/NºAsuntos!G10," - ")</f>
        <v>28.555555555555557</v>
      </c>
      <c r="D10" s="444">
        <f>IF(ISNUMBER('Resol  Asuntos'!D10/NºAsuntos!G10),'Resol  Asuntos'!D10/NºAsuntos!G10," - ")</f>
        <v>0.55555555555555558</v>
      </c>
      <c r="E10" s="445">
        <f>IF(ISNUMBER((NºAsuntos!C10+NºAsuntos!E10)/NºAsuntos!G10),(NºAsuntos!C10+NºAsuntos!E10)/NºAsuntos!G10," - ")</f>
        <v>29.555555555555557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0.7109420713867759</v>
      </c>
      <c r="C12" s="443">
        <f>IF(ISNUMBER(NºAsuntos!I12/NºAsuntos!G12),NºAsuntos!I12/NºAsuntos!G12," - ")</f>
        <v>6.8798353909465018</v>
      </c>
      <c r="D12" s="444">
        <f>IF(ISNUMBER('Resol  Asuntos'!D12/NºAsuntos!G12),'Resol  Asuntos'!D12/NºAsuntos!G12," - ")</f>
        <v>0.1506172839506173</v>
      </c>
      <c r="E12" s="445">
        <f>IF(ISNUMBER((NºAsuntos!C12+NºAsuntos!E12)/NºAsuntos!G12),(NºAsuntos!C12+NºAsuntos!E12)/NºAsuntos!G12," - ")</f>
        <v>7.9201646090534981</v>
      </c>
      <c r="G12" s="463"/>
    </row>
    <row r="13" spans="1:7" ht="14.25" thickTop="1" thickBot="1">
      <c r="A13" s="848" t="str">
        <f>Datos!A13</f>
        <v>TOTAL</v>
      </c>
      <c r="B13" s="858">
        <f>IF(ISNUMBER(NºAsuntos!G13/NºAsuntos!E13),NºAsuntos!G13/NºAsuntos!E13," - ")</f>
        <v>0.70466321243523311</v>
      </c>
      <c r="C13" s="859">
        <f>IF(ISNUMBER(NºAsuntos!I13/NºAsuntos!G13),NºAsuntos!I13/NºAsuntos!G13," - ")</f>
        <v>7.0392156862745097</v>
      </c>
      <c r="D13" s="860">
        <f>IF(ISNUMBER('Resol  Asuntos'!D13/NºAsuntos!G13),'Resol  Asuntos'!D13/NºAsuntos!G13," - ")</f>
        <v>0.15359477124183007</v>
      </c>
      <c r="E13" s="861">
        <f>IF(ISNUMBER((NºAsuntos!C13+NºAsuntos!E13)/NºAsuntos!G13),(NºAsuntos!C13+NºAsuntos!E13)/NºAsuntos!G13," - ")</f>
        <v>8.0792483660130721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0.81196147997972634</v>
      </c>
      <c r="C16" s="443">
        <f>IF(ISNUMBER(NºAsuntos!I16/NºAsuntos!G16),NºAsuntos!I16/NºAsuntos!G16," - ")</f>
        <v>3.2777777777777777</v>
      </c>
      <c r="D16" s="444">
        <f>IF(ISNUMBER('Resol  Asuntos'!D16/NºAsuntos!G16),'Resol  Asuntos'!D16/NºAsuntos!G16," - ")</f>
        <v>0.1111111111111111</v>
      </c>
      <c r="E16" s="445">
        <f>IF(ISNUMBER((NºAsuntos!C16+NºAsuntos!E16)/NºAsuntos!G16),(NºAsuntos!C16+NºAsuntos!E16)/NºAsuntos!G16," - ")</f>
        <v>4.2808988764044944</v>
      </c>
      <c r="G16" s="463"/>
    </row>
    <row r="17" spans="1:7" ht="13.5" thickBot="1">
      <c r="A17" s="402" t="str">
        <f>Datos!A17</f>
        <v>Jdos. Violencia contra la mujer</v>
      </c>
      <c r="B17" s="442">
        <f>IF(ISNUMBER(NºAsuntos!G17/NºAsuntos!E17),NºAsuntos!G17/NºAsuntos!E17," - ")</f>
        <v>0.72549019607843135</v>
      </c>
      <c r="C17" s="443">
        <f>IF(ISNUMBER(NºAsuntos!I17/NºAsuntos!G17),NºAsuntos!I17/NºAsuntos!G17," - ")</f>
        <v>9.7432432432432439</v>
      </c>
      <c r="D17" s="444">
        <f>IF(ISNUMBER('Resol  Asuntos'!D17/NºAsuntos!G17),'Resol  Asuntos'!D17/NºAsuntos!G17," - ")</f>
        <v>0.45945945945945948</v>
      </c>
      <c r="E17" s="445">
        <f>IF(ISNUMBER((NºAsuntos!C17+NºAsuntos!E17)/NºAsuntos!G17),(NºAsuntos!C17+NºAsuntos!E17)/NºAsuntos!G17," - ")</f>
        <v>10.743243243243244</v>
      </c>
      <c r="G17" s="463"/>
    </row>
    <row r="18" spans="1:7" ht="14.25" thickTop="1" thickBot="1">
      <c r="A18" s="848" t="str">
        <f>Datos!A18</f>
        <v>TOTAL</v>
      </c>
      <c r="B18" s="858">
        <f>IF(ISNUMBER(NºAsuntos!G18/NºAsuntos!E18),NºAsuntos!G18/NºAsuntos!E18," - ")</f>
        <v>0.80771084337349397</v>
      </c>
      <c r="C18" s="859">
        <f>IF(ISNUMBER(NºAsuntos!I18/NºAsuntos!G18),NºAsuntos!I18/NºAsuntos!G18," - ")</f>
        <v>3.5632458233890216</v>
      </c>
      <c r="D18" s="862">
        <f>IF(ISNUMBER('Resol  Asuntos'!D18/NºAsuntos!G18),'Resol  Asuntos'!D18/NºAsuntos!G18," - ")</f>
        <v>0.12649164677804295</v>
      </c>
      <c r="E18" s="861">
        <f>IF(ISNUMBER((NºAsuntos!C18+NºAsuntos!E18)/NºAsuntos!G18),(NºAsuntos!C18+NºAsuntos!E18)/NºAsuntos!G18," - ")</f>
        <v>4.5662291169451077</v>
      </c>
      <c r="G18" s="463"/>
    </row>
    <row r="19" spans="1:7" ht="15.75" customHeight="1" thickTop="1" thickBot="1">
      <c r="A19" s="793" t="str">
        <f>Datos!A19</f>
        <v>TOTAL JURISDICCIONES</v>
      </c>
      <c r="B19" s="808">
        <f>IF(ISNUMBER(NºAsuntos!G19/NºAsuntos!E19),NºAsuntos!G19/NºAsuntos!E19," - ")</f>
        <v>0.76075550891920252</v>
      </c>
      <c r="C19" s="809">
        <f>IF(ISNUMBER(NºAsuntos!I19/NºAsuntos!G19),NºAsuntos!I19/NºAsuntos!G19," - ")</f>
        <v>5.030344827586207</v>
      </c>
      <c r="D19" s="810">
        <f>IF(ISNUMBER('Resol  Asuntos'!D19/NºAsuntos!G19),'Resol  Asuntos'!D19/NºAsuntos!G19," - ")</f>
        <v>0.13793103448275862</v>
      </c>
      <c r="E19" s="811">
        <f>IF(ISNUMBER((NºAsuntos!C19+NºAsuntos!E19)/NºAsuntos!G19),(NºAsuntos!C19+NºAsuntos!E19)/NºAsuntos!G19," - ")</f>
        <v>6.0489655172413794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3xt24d6w9VpH0UgHAFeFPM3PVHfrCYYE6AvOHUERhYp3KXim/ebEkJb9Tn2BIycLm3+5h9wgKgHJ89DMU/8rA==" saltValue="Toe0di44vwkbqM2ymBvWs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LORCA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238</v>
      </c>
      <c r="G10" s="333">
        <f>IF(ISNUMBER(Datos!I10),Datos!I10," - ")</f>
        <v>238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257</v>
      </c>
      <c r="AB10" s="334">
        <f>IF(ISNUMBER(Datos!R10),Datos!R10," - ")</f>
        <v>54</v>
      </c>
      <c r="AC10" s="334">
        <f t="shared" ref="AC10:AC12" si="1">IF(ISNUMBER(AA10+AB10),AA10+AB10," - ")</f>
        <v>311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0.32142857142857145</v>
      </c>
      <c r="AM10" s="260">
        <f>IF(ISNUMBER(((NºAsuntos!I10/NºAsuntos!G10)*11)/factor_trimestre),((NºAsuntos!I10/NºAsuntos!G10)*11)/factor_trimestre," - ")</f>
        <v>57.111111111111114</v>
      </c>
      <c r="AN10" s="244">
        <f>IF(ISNUMBER('Resol  Asuntos'!D10/NºAsuntos!G10),'Resol  Asuntos'!D10/NºAsuntos!G10," - ")</f>
        <v>0.55555555555555558</v>
      </c>
      <c r="AO10" s="245">
        <f>IF(ISNUMBER((NºAsuntos!C10+NºAsuntos!E10)/NºAsuntos!G10),(NºAsuntos!C10+NºAsuntos!E10)/NºAsuntos!G10," - ")</f>
        <v>29.555555555555557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760</v>
      </c>
      <c r="Y12" s="334">
        <f t="shared" si="0"/>
        <v>760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7089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183</v>
      </c>
      <c r="AJ12" s="229" t="str">
        <f>IF(ISNUMBER(Datos!BW12),Datos!BW12," - ")</f>
        <v xml:space="preserve"> - </v>
      </c>
      <c r="AK12" s="228" t="str">
        <f>IF(ISNUMBER(Datos!BX12),Datos!BX12," - ")</f>
        <v xml:space="preserve"> - </v>
      </c>
      <c r="AL12" s="243">
        <f>IF(ISNUMBER(NºAsuntos!G12/NºAsuntos!E12),NºAsuntos!G12/NºAsuntos!E12," - ")</f>
        <v>0.7109420713867759</v>
      </c>
      <c r="AM12" s="260">
        <f>IF(ISNUMBER(((NºAsuntos!I12/NºAsuntos!G12)*11)/factor_trimestre),((NºAsuntos!I12/NºAsuntos!G12)*11)/factor_trimestre," - ")</f>
        <v>13.759670781893004</v>
      </c>
      <c r="AN12" s="244">
        <f>IF(ISNUMBER('Resol  Asuntos'!D12/NºAsuntos!G12),'Resol  Asuntos'!D12/NºAsuntos!G12," - ")</f>
        <v>0.1506172839506173</v>
      </c>
      <c r="AO12" s="245">
        <f>IF(ISNUMBER((NºAsuntos!C12+NºAsuntos!E12)/NºAsuntos!G12),(NºAsuntos!C12+NºAsuntos!E12)/NºAsuntos!G12," - ")</f>
        <v>7.9201646090534981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238</v>
      </c>
      <c r="G13" s="866">
        <f t="shared" si="3"/>
        <v>238</v>
      </c>
      <c r="H13" s="865">
        <f t="shared" si="3"/>
        <v>0</v>
      </c>
      <c r="I13" s="867">
        <f t="shared" si="3"/>
        <v>0</v>
      </c>
      <c r="J13" s="867">
        <f t="shared" si="3"/>
        <v>0</v>
      </c>
      <c r="K13" s="867">
        <f t="shared" si="3"/>
        <v>0</v>
      </c>
      <c r="L13" s="867">
        <f t="shared" si="3"/>
        <v>327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760</v>
      </c>
      <c r="Y13" s="868">
        <f t="shared" si="4"/>
        <v>769</v>
      </c>
      <c r="Z13" s="868">
        <f t="shared" si="4"/>
        <v>0</v>
      </c>
      <c r="AA13" s="868">
        <f t="shared" si="4"/>
        <v>257</v>
      </c>
      <c r="AB13" s="868">
        <f t="shared" si="4"/>
        <v>7143</v>
      </c>
      <c r="AC13" s="868">
        <f t="shared" si="4"/>
        <v>311</v>
      </c>
      <c r="AD13" s="868">
        <f t="shared" si="4"/>
        <v>0</v>
      </c>
      <c r="AE13" s="872">
        <f t="shared" si="4"/>
        <v>0</v>
      </c>
      <c r="AF13" s="865">
        <f t="shared" si="4"/>
        <v>0</v>
      </c>
      <c r="AG13" s="873">
        <f t="shared" si="4"/>
        <v>0</v>
      </c>
      <c r="AH13" s="870">
        <f t="shared" si="4"/>
        <v>0</v>
      </c>
      <c r="AI13" s="865">
        <f t="shared" si="4"/>
        <v>188</v>
      </c>
      <c r="AJ13" s="867">
        <f t="shared" si="4"/>
        <v>0</v>
      </c>
      <c r="AK13" s="870">
        <f>SUBTOTAL(9,AK9:AK12)</f>
        <v>0</v>
      </c>
      <c r="AL13" s="874">
        <f>IF(ISNUMBER(NºAsuntos!G13/NºAsuntos!E13),NºAsuntos!G13/NºAsuntos!E13," - ")</f>
        <v>0.70466321243523311</v>
      </c>
      <c r="AM13" s="874">
        <f>IF(ISNUMBER(((NºAsuntos!I13/NºAsuntos!G13)*11)/factor_trimestre),((NºAsuntos!I13/NºAsuntos!G13)*11)/factor_trimestre," - ")</f>
        <v>14.078431372549021</v>
      </c>
      <c r="AN13" s="875">
        <f>IF(ISNUMBER('Resol  Asuntos'!D13/NºAsuntos!G13),'Resol  Asuntos'!D13/NºAsuntos!G13," - ")</f>
        <v>0.15359477124183007</v>
      </c>
      <c r="AO13" s="876">
        <f>IF(ISNUMBER((NºAsuntos!C13+NºAsuntos!E13)/NºAsuntos!G13),(NºAsuntos!C13+NºAsuntos!E13)/NºAsuntos!G13," - ")</f>
        <v>8.0792483660130721</v>
      </c>
      <c r="AP13" s="877" t="str">
        <f t="shared" si="2"/>
        <v xml:space="preserve"> - </v>
      </c>
      <c r="AQ13" s="877">
        <f>IF(ISNUMBER((H13-W13+K13)/(F13)),(H13-W13+K13)/(F13)," - ")</f>
        <v>-3.7815126050420166E-2</v>
      </c>
      <c r="AR13" s="878">
        <f>IF(ISNUMBER((Datos!P13-Datos!Q13)/(Datos!R13-Datos!P13+Datos!Q13)),(Datos!P13-Datos!Q13)/(Datos!R13-Datos!P13+Datos!Q13)," - ")</f>
        <v>-5.7154171066525872E-2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4880</v>
      </c>
      <c r="G16" s="333">
        <f>IF(ISNUMBER(IF(D_I="SI",Datos!I16,Datos!I16+Datos!AC16)),IF(D_I="SI",Datos!I16,Datos!I16+Datos!AC16)," - ")</f>
        <v>4885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1602</v>
      </c>
      <c r="X16" s="226">
        <f>IF(ISNUMBER(Datos!Q16),Datos!Q16," - ")</f>
        <v>11</v>
      </c>
      <c r="Y16" s="334">
        <f t="shared" ref="Y16:Y17" si="7">SUM(W16:X16)</f>
        <v>1613</v>
      </c>
      <c r="Z16" s="335" t="str">
        <f>IF(ISNUMBER(Datos!CC16),Datos!CC16," - ")</f>
        <v xml:space="preserve"> - </v>
      </c>
      <c r="AA16" s="332">
        <f>IF(ISNUMBER(IF(D_I="SI",Datos!L16,Datos!L16+Datos!AF16)),IF(D_I="SI",Datos!L16,Datos!L16+Datos!AF16)," - ")</f>
        <v>5251</v>
      </c>
      <c r="AB16" s="334">
        <f>IF(ISNUMBER(Datos!R16),Datos!R16," - ")</f>
        <v>225</v>
      </c>
      <c r="AC16" s="334">
        <f t="shared" si="6"/>
        <v>5476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178</v>
      </c>
      <c r="AJ16" s="231" t="str">
        <f>IF(ISNUMBER(Datos!BW16),Datos!BW16," - ")</f>
        <v xml:space="preserve"> - </v>
      </c>
      <c r="AK16" s="232" t="str">
        <f>IF(ISNUMBER(Datos!BX16),Datos!BX16," - ")</f>
        <v xml:space="preserve"> - </v>
      </c>
      <c r="AL16" s="243">
        <f>IF(ISNUMBER(NºAsuntos!G16/NºAsuntos!E16),NºAsuntos!G16/NºAsuntos!E16," - ")</f>
        <v>0.81196147997972634</v>
      </c>
      <c r="AM16" s="260">
        <f>IF(ISNUMBER(((NºAsuntos!I16/NºAsuntos!G16)*11)/factor_trimestre),((NºAsuntos!I16/NºAsuntos!G16)*11)/factor_trimestre," - ")</f>
        <v>6.5555555555555562</v>
      </c>
      <c r="AN16" s="244">
        <f>IF(ISNUMBER('Resol  Asuntos'!D16/NºAsuntos!G16),'Resol  Asuntos'!D16/NºAsuntos!G16," - ")</f>
        <v>0.1111111111111111</v>
      </c>
      <c r="AO16" s="245">
        <f>IF(ISNUMBER((NºAsuntos!C16+NºAsuntos!E16)/NºAsuntos!G16),(NºAsuntos!C16+NºAsuntos!E16)/NºAsuntos!G16," - ")</f>
        <v>4.2808988764044944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74</v>
      </c>
      <c r="X17" s="226">
        <f>IF(ISNUMBER(Datos!Q17),Datos!Q17," - ")</f>
        <v>0</v>
      </c>
      <c r="Y17" s="334">
        <f t="shared" si="7"/>
        <v>74</v>
      </c>
      <c r="Z17" s="335" t="str">
        <f>IF(ISNUMBER(Datos!CC17),Datos!CC17," - ")</f>
        <v xml:space="preserve"> - </v>
      </c>
      <c r="AA17" s="332">
        <f>IF(ISNUMBER(Datos!L17),Datos!L17,"-")</f>
        <v>721</v>
      </c>
      <c r="AB17" s="334">
        <f>IF(ISNUMBER(Datos!R17),Datos!R17," - ")</f>
        <v>14</v>
      </c>
      <c r="AC17" s="334">
        <f t="shared" si="6"/>
        <v>735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34</v>
      </c>
      <c r="AJ17" s="231" t="str">
        <f>IF(ISNUMBER(Datos!BW17),Datos!BW17," - ")</f>
        <v xml:space="preserve"> - </v>
      </c>
      <c r="AK17" s="232" t="str">
        <f>IF(ISNUMBER(Datos!BX17),Datos!BX17," - ")</f>
        <v xml:space="preserve"> - </v>
      </c>
      <c r="AL17" s="243">
        <f>IF(ISNUMBER(NºAsuntos!G17/NºAsuntos!E17),NºAsuntos!G17/NºAsuntos!E17," - ")</f>
        <v>0.72549019607843135</v>
      </c>
      <c r="AM17" s="260">
        <f>IF(ISNUMBER(((NºAsuntos!I17/NºAsuntos!G17)*11)/factor_trimestre),((NºAsuntos!I17/NºAsuntos!G17)*11)/factor_trimestre," - ")</f>
        <v>19.486486486486488</v>
      </c>
      <c r="AN17" s="244">
        <f>IF(ISNUMBER('Resol  Asuntos'!D17/NºAsuntos!G17),'Resol  Asuntos'!D17/NºAsuntos!G17," - ")</f>
        <v>0.45945945945945948</v>
      </c>
      <c r="AO17" s="245">
        <f>IF(ISNUMBER((NºAsuntos!C17+NºAsuntos!E17)/NºAsuntos!G17),(NºAsuntos!C17+NºAsuntos!E17)/NºAsuntos!G17," - ")</f>
        <v>10.743243243243244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4880</v>
      </c>
      <c r="G18" s="866">
        <f>SUBTOTAL(9,G15:G17)</f>
        <v>5578</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1676</v>
      </c>
      <c r="X18" s="867">
        <f t="shared" si="11"/>
        <v>11</v>
      </c>
      <c r="Y18" s="868">
        <f t="shared" si="11"/>
        <v>1687</v>
      </c>
      <c r="Z18" s="868">
        <f t="shared" si="11"/>
        <v>0</v>
      </c>
      <c r="AA18" s="868">
        <f t="shared" si="11"/>
        <v>5972</v>
      </c>
      <c r="AB18" s="868">
        <f t="shared" si="11"/>
        <v>239</v>
      </c>
      <c r="AC18" s="868">
        <f t="shared" si="11"/>
        <v>6211</v>
      </c>
      <c r="AD18" s="868">
        <f t="shared" si="11"/>
        <v>0</v>
      </c>
      <c r="AE18" s="872">
        <f t="shared" si="11"/>
        <v>0</v>
      </c>
      <c r="AF18" s="865">
        <f t="shared" si="11"/>
        <v>0</v>
      </c>
      <c r="AG18" s="873">
        <f t="shared" si="11"/>
        <v>0</v>
      </c>
      <c r="AH18" s="870">
        <f t="shared" si="11"/>
        <v>0</v>
      </c>
      <c r="AI18" s="865">
        <f t="shared" si="11"/>
        <v>212</v>
      </c>
      <c r="AJ18" s="867">
        <f t="shared" si="11"/>
        <v>0</v>
      </c>
      <c r="AK18" s="870">
        <f t="shared" si="11"/>
        <v>0</v>
      </c>
      <c r="AL18" s="874">
        <f>IF(ISNUMBER(NºAsuntos!G18/NºAsuntos!E18),NºAsuntos!G18/NºAsuntos!E18," - ")</f>
        <v>0.80771084337349397</v>
      </c>
      <c r="AM18" s="874">
        <f>IF(ISNUMBER(((NºAsuntos!I18/NºAsuntos!G18)*11)/factor_trimestre),((NºAsuntos!I18/NºAsuntos!G18)*11)/factor_trimestre," - ")</f>
        <v>7.1264916467780433</v>
      </c>
      <c r="AN18" s="875">
        <f>IF(ISNUMBER('Resol  Asuntos'!D18/NºAsuntos!G18),'Resol  Asuntos'!D18/NºAsuntos!G18," - ")</f>
        <v>0.12649164677804295</v>
      </c>
      <c r="AO18" s="876">
        <f>IF(ISNUMBER((NºAsuntos!C18+NºAsuntos!E18)/NºAsuntos!G18),(NºAsuntos!C18+NºAsuntos!E18)/NºAsuntos!G18," - ")</f>
        <v>4.5662291169451077</v>
      </c>
      <c r="AP18" s="877" t="str">
        <f t="shared" si="2"/>
        <v xml:space="preserve"> - </v>
      </c>
      <c r="AQ18" s="877">
        <f>IF(ISNUMBER((H18-W18+K18)/(F18)),(H18-W18+K18)/(F18)," - ")</f>
        <v>-0.34344262295081968</v>
      </c>
      <c r="AR18" s="878">
        <f>IF(ISNUMBER((Datos!P18-Datos!Q18)/(Datos!R18-Datos!P18+Datos!Q18)),(Datos!P18-Datos!Q18)/(Datos!R18-Datos!P18+Datos!Q18)," - ")</f>
        <v>5.2863436123348019E-2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5118</v>
      </c>
      <c r="G19" s="821">
        <f t="shared" si="13"/>
        <v>5816</v>
      </c>
      <c r="H19" s="820">
        <f t="shared" si="13"/>
        <v>0</v>
      </c>
      <c r="I19" s="822">
        <f t="shared" si="13"/>
        <v>0</v>
      </c>
      <c r="J19" s="822">
        <f t="shared" si="13"/>
        <v>0</v>
      </c>
      <c r="K19" s="881">
        <f t="shared" si="13"/>
        <v>0</v>
      </c>
      <c r="L19" s="822">
        <f t="shared" si="13"/>
        <v>350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1685</v>
      </c>
      <c r="X19" s="821">
        <f t="shared" si="14"/>
        <v>771</v>
      </c>
      <c r="Y19" s="828">
        <f t="shared" si="14"/>
        <v>2456</v>
      </c>
      <c r="Z19" s="828">
        <f t="shared" si="14"/>
        <v>0</v>
      </c>
      <c r="AA19" s="828">
        <f t="shared" si="14"/>
        <v>6229</v>
      </c>
      <c r="AB19" s="828">
        <f t="shared" si="14"/>
        <v>7382</v>
      </c>
      <c r="AC19" s="828">
        <f t="shared" si="14"/>
        <v>6522</v>
      </c>
      <c r="AD19" s="828">
        <f t="shared" si="14"/>
        <v>0</v>
      </c>
      <c r="AE19" s="830">
        <f t="shared" si="14"/>
        <v>0</v>
      </c>
      <c r="AF19" s="831">
        <f t="shared" si="14"/>
        <v>0</v>
      </c>
      <c r="AG19" s="832">
        <f t="shared" si="14"/>
        <v>0</v>
      </c>
      <c r="AH19" s="830">
        <f t="shared" si="14"/>
        <v>0</v>
      </c>
      <c r="AI19" s="820">
        <f t="shared" si="14"/>
        <v>400</v>
      </c>
      <c r="AJ19" s="820">
        <f t="shared" si="14"/>
        <v>0</v>
      </c>
      <c r="AK19" s="830">
        <f t="shared" si="14"/>
        <v>0</v>
      </c>
      <c r="AL19" s="884">
        <f>IF(ISNUMBER(NºAsuntos!G19/NºAsuntos!E19),NºAsuntos!G19/NºAsuntos!E19," - ")</f>
        <v>0.76075550891920252</v>
      </c>
      <c r="AM19" s="885">
        <f>IF(ISNUMBER(((NºAsuntos!I19/NºAsuntos!G19)*11)/factor_trimestre),((NºAsuntos!I19/NºAsuntos!G19)*11)/factor_trimestre," - ")</f>
        <v>10.060689655172414</v>
      </c>
      <c r="AN19" s="885">
        <f>IF(ISNUMBER('Resol  Asuntos'!D19/NºAsuntos!G19),'Resol  Asuntos'!D19/NºAsuntos!G19," - ")</f>
        <v>0.13793103448275862</v>
      </c>
      <c r="AO19" s="886">
        <f>IF(ISNUMBER((NºAsuntos!C19+NºAsuntos!E19)/NºAsuntos!G19),(NºAsuntos!C19+NºAsuntos!E19)/NºAsuntos!G19," - ")</f>
        <v>6.0489655172413794</v>
      </c>
      <c r="AP19" s="887" t="str">
        <f t="shared" si="2"/>
        <v xml:space="preserve"> - </v>
      </c>
      <c r="AQ19" s="888">
        <f>IF(OR(ISNUMBER(FIND("01",Criterios!A8,1)),ISNUMBER(FIND("02",Criterios!A8,1)),ISNUMBER(FIND("03",Criterios!A8,1)),ISNUMBER(FIND("04",Criterios!A8,1))),(I19-W19+K19)/(F19-K19),(H19-W19+K19)/(F19-K19))</f>
        <v>-0.32923016803438843</v>
      </c>
      <c r="AR19" s="889">
        <f>IF(ISNUMBER((Datos!P19-Datos!Q19)/(Datos!R19-Datos!P19+Datos!Q19)),(Datos!P19-Datos!Q19)/(Datos!R19-Datos!P19+Datos!Q19)," - ")</f>
        <v>-5.3953607586825582E-2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2326.4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2680.0599495782426</v>
      </c>
      <c r="G21" s="253">
        <f>IF(ISNUMBER(STDEV(G8:G18)),STDEV(G8:G18),"-")</f>
        <v>2669.7453623894544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881.70828509207058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89.415136675322856</v>
      </c>
      <c r="AJ21" s="252">
        <f t="shared" si="18"/>
        <v>0</v>
      </c>
      <c r="AK21" s="254">
        <f t="shared" si="18"/>
        <v>0</v>
      </c>
      <c r="AL21" s="249">
        <f t="shared" si="18"/>
        <v>0.18217112881005942</v>
      </c>
      <c r="AM21" s="250">
        <f t="shared" si="18"/>
        <v>18.959930232512466</v>
      </c>
      <c r="AN21" s="250">
        <f t="shared" si="18"/>
        <v>0.19514841545927139</v>
      </c>
      <c r="AO21" s="251">
        <f t="shared" si="18"/>
        <v>9.4742675616574825</v>
      </c>
      <c r="AP21" s="291" t="str">
        <f t="shared" si="18"/>
        <v>-</v>
      </c>
      <c r="AQ21" s="292">
        <f t="shared" si="18"/>
        <v>0.21611127557534307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8JeXmN9cVtYOAWdPU+lmLIwDlCVLh9lKsgBu/dzy2bXFeYRg1TLCMnpT6zsexxTcaYxcwMLSVzGFA0E16ikZg==" saltValue="SXJ0SrfLGLS9trJ/J+Nc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LORCA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0.40828402366863903</v>
      </c>
      <c r="E10" s="348">
        <f>IF(ISNUMBER((Datos!J10-Datos!T10)/Datos!T10),(Datos!J10-Datos!T10)/Datos!T10," - ")</f>
        <v>1.8</v>
      </c>
      <c r="F10" s="348">
        <f>IF(ISNUMBER((Datos!K10-Datos!U10)/Datos!U10),(Datos!K10-Datos!U10)/Datos!U10," - ")</f>
        <v>0</v>
      </c>
      <c r="G10" s="349">
        <f>IF(ISNUMBER((Datos!L10-Datos!V10)/Datos!V10),(Datos!L10-Datos!V10)/Datos!V10," - ")</f>
        <v>0.52976190476190477</v>
      </c>
      <c r="H10" s="230">
        <f>IF(ISNUMBER((Datos!M10-Datos!W10)/Datos!W10),(Datos!M10-Datos!W10)/Datos!W10," - ")</f>
        <v>0</v>
      </c>
      <c r="I10" s="350">
        <f>IF(ISNUMBER((Tasas!C10-Datos!BE10)/Datos!BE10),(Tasas!C10-Datos!BE10)/Datos!BE10," - ")</f>
        <v>0.52976190476190477</v>
      </c>
      <c r="J10" s="349">
        <f>IF(ISNUMBER((Tasas!D10-Datos!BF10)/Datos!BF10),(Tasas!D10-Datos!BF10)/Datos!BF10," - ")</f>
        <v>0</v>
      </c>
      <c r="K10" s="351">
        <f>IF(ISNUMBER((Tasas!E10-Datos!BG10)/Datos!BG10),(Tasas!E10-Datos!BG10)/Datos!BG10," - ")</f>
        <v>0.48603351955307267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0.10240963855421686</v>
      </c>
      <c r="I12" s="350">
        <f>IF(ISNUMBER((Tasas!C12-Datos!BE12)/Datos!BE12),(Tasas!C12-Datos!BE12)/Datos!BE12," - ")</f>
        <v>-0.13234745841700774</v>
      </c>
      <c r="J12" s="349">
        <f>IF(ISNUMBER((Tasas!D12-Datos!BF12)/Datos!BF12),(Tasas!D12-Datos!BF12)/Datos!BF12," - ")</f>
        <v>-0.72324074074074074</v>
      </c>
      <c r="K12" s="351">
        <f>IF(ISNUMBER((Tasas!E12-Datos!BG12)/Datos!BG12),(Tasas!E12-Datos!BG12)/Datos!BG12," - ")</f>
        <v>-0.11246821349987485</v>
      </c>
      <c r="M12" t="e">
        <f>IF(Monitorios="SI",Datos!CE12,0)</f>
        <v>#REF!</v>
      </c>
      <c r="N12" t="e">
        <f>IF(Monitorios="SI",Datos!CF12,0)</f>
        <v>#REF!</v>
      </c>
      <c r="O12" t="e">
        <f>IF(Monitorios="SI",Datos!CG12,0)</f>
        <v>#REF!</v>
      </c>
      <c r="P12" t="e">
        <f>IF(Monitorios="SI",Datos!CH12,0)</f>
        <v>#REF!</v>
      </c>
      <c r="Q12">
        <f>IF(J_V="SI",0,Datos!AG12)</f>
        <v>199</v>
      </c>
      <c r="R12">
        <f>IF(J_V="SI",0,Datos!AH12)</f>
        <v>118</v>
      </c>
      <c r="S12">
        <f>IF(J_V="SI",0,Datos!AI12)</f>
        <v>50</v>
      </c>
      <c r="T12">
        <f>IF(J_V="SI",0,Datos!AJ12)</f>
        <v>276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9.9415204678362568E-2</v>
      </c>
      <c r="I13" s="357">
        <f>IF(ISNUMBER((Tasas!C13-Datos!BE13)/Datos!BE13),(Tasas!C13-Datos!BE13)/Datos!BE13," - ")</f>
        <v>-0.12655495820743237</v>
      </c>
      <c r="J13" s="355">
        <f>IF(ISNUMBER((Tasas!D13-Datos!BF13)/Datos!BF13),(Tasas!D13-Datos!BF13)/Datos!BF13," - ")</f>
        <v>-0.71784071653352699</v>
      </c>
      <c r="K13" s="358">
        <f>IF(ISNUMBER((Tasas!E13-Datos!BG13)/Datos!BG13),(Tasas!E13-Datos!BG13)/Datos!BG13," - ")</f>
        <v>-0.10790133803595645</v>
      </c>
      <c r="M13" t="e">
        <f>IF(Monitorios="SI",Datos!CE13,0)</f>
        <v>#REF!</v>
      </c>
      <c r="N13" t="e">
        <f>IF(Monitorios="SI",Datos!CF13,0)</f>
        <v>#REF!</v>
      </c>
      <c r="O13" t="e">
        <f>IF(Monitorios="SI",Datos!CG13,0)</f>
        <v>#REF!</v>
      </c>
      <c r="P13" t="e">
        <f>IF(Monitorios="SI",Datos!CH13,0)</f>
        <v>#REF!</v>
      </c>
      <c r="Q13">
        <f>IF(J_V="SI",0,Datos!AG13)</f>
        <v>199</v>
      </c>
      <c r="R13">
        <f>IF(J_V="SI",0,Datos!AH13)</f>
        <v>118</v>
      </c>
      <c r="S13">
        <f>IF(J_V="SI",0,Datos!AI13)</f>
        <v>50</v>
      </c>
      <c r="T13">
        <f>IF(J_V="SI",0,Datos!AJ13)</f>
        <v>276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0.18740884783665532</v>
      </c>
      <c r="E16" s="348">
        <f>IF(ISNUMBER(
   IF(D_I="SI",(Datos!J16-Datos!T16)/Datos!T16,(Datos!J16+Datos!AD16-(Datos!T16+Datos!AL16))/(Datos!T16+Datos!AL16))
     ),IF(D_I="SI",(Datos!J16-Datos!T16)/Datos!T16,(Datos!J16+Datos!AD16-(Datos!T16+Datos!AL16))/(Datos!T16+Datos!AL16))," - ")</f>
        <v>-0.11484970838941229</v>
      </c>
      <c r="F16" s="348">
        <f>IF(ISNUMBER(
   IF(D_I="SI",(Datos!K16-Datos!U16)/Datos!U16,(Datos!K16+Datos!AE16-(Datos!U16+Datos!AM16))/(Datos!U16+Datos!AM16))
     ),IF(D_I="SI",(Datos!K16-Datos!U16)/Datos!U16,(Datos!K16+Datos!AE16-(Datos!U16+Datos!AM16))/(Datos!U16+Datos!AM16))," - ")</f>
        <v>0.16849015317286653</v>
      </c>
      <c r="G16" s="349">
        <f>IF(ISNUMBER(
   IF(D_I="SI",(Datos!L16-Datos!V16)/Datos!V16,(Datos!L16+Datos!AF16-(Datos!V16+Datos!AN16))/(Datos!V16+Datos!AN16))
     ),IF(D_I="SI",(Datos!L16-Datos!V16)/Datos!V16,(Datos!L16+Datos!AF16-(Datos!V16+Datos!AN16))/(Datos!V16+Datos!AN16))," - ")</f>
        <v>7.3604579840523404E-2</v>
      </c>
      <c r="H16" s="230">
        <f>IF(ISNUMBER((Datos!M16-Datos!W16)/Datos!W16),(Datos!M16-Datos!W16)/Datos!W16," - ")</f>
        <v>0.56140350877192979</v>
      </c>
      <c r="I16" s="350">
        <f>IF(ISNUMBER((Tasas!C16-Datos!BE16)/Datos!BE16),(Tasas!C16-Datos!BE16)/Datos!BE16," - ")</f>
        <v>-8.1203571185170104E-2</v>
      </c>
      <c r="J16" s="349">
        <f>IF(ISNUMBER((Tasas!D16-Datos!BF16)/Datos!BF16),(Tasas!D16-Datos!BF16)/Datos!BF16," - ")</f>
        <v>0.33625730994152048</v>
      </c>
      <c r="K16" s="351">
        <f>IF(ISNUMBER((Tasas!E16-Datos!BG16)/Datos!BG16),(Tasas!E16-Datos!BG16)/Datos!BG16," - ")</f>
        <v>-7.4710332721021261E-2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0.11414790996784566</v>
      </c>
      <c r="E17" s="348">
        <f>IF(ISNUMBER(
   IF(D_I="SI",(Datos!J17-Datos!T17)/Datos!T17,(Datos!J17+Datos!AD17-(Datos!T17+Datos!AL17))/(Datos!T17+Datos!AL17))
     ),IF(D_I="SI",(Datos!J17-Datos!T17)/Datos!T17,(Datos!J17+Datos!AD17-(Datos!T17+Datos!AL17))/(Datos!T17+Datos!AL17))," - ")</f>
        <v>-0.46875</v>
      </c>
      <c r="F17" s="348">
        <f>IF(ISNUMBER(
   IF(D_I="SI",(Datos!K17-Datos!U17)/Datos!U17,(Datos!K17+Datos!AE17-(Datos!U17+Datos!AM17))/(Datos!U17+Datos!AM17))
     ),IF(D_I="SI",(Datos!K17-Datos!U17)/Datos!U17,(Datos!K17+Datos!AE17-(Datos!U17+Datos!AM17))/(Datos!U17+Datos!AM17))," - ")</f>
        <v>-0.58192090395480223</v>
      </c>
      <c r="G17" s="349">
        <f>IF(ISNUMBER(
   IF(D_I="SI",(Datos!L17-Datos!V17)/Datos!V17,(Datos!L17+Datos!AF17-(Datos!V17+Datos!AN17))/(Datos!V17+Datos!AN17))
     ),IF(D_I="SI",(Datos!L17-Datos!V17)/Datos!V17,(Datos!L17+Datos!AF17-(Datos!V17+Datos!AN17))/(Datos!V17+Datos!AN17))," - ")</f>
        <v>0.3351851851851852</v>
      </c>
      <c r="H17" s="230">
        <f>IF(ISNUMBER((Datos!M17-Datos!W17)/Datos!W17),(Datos!M17-Datos!W17)/Datos!W17," - ")</f>
        <v>-0.6</v>
      </c>
      <c r="I17" s="350">
        <f>IF(ISNUMBER((Tasas!C17-Datos!BE17)/Datos!BE17),(Tasas!C17-Datos!BE17)/Datos!BE17," - ")</f>
        <v>2.1936186186186188</v>
      </c>
      <c r="J17" s="349">
        <f>IF(ISNUMBER((Tasas!D17-Datos!BF17)/Datos!BF17),(Tasas!D17-Datos!BF17)/Datos!BF17," - ")</f>
        <v>-4.3243243243243225E-2</v>
      </c>
      <c r="K17" s="351">
        <f>IF(ISNUMBER((Tasas!E17-Datos!BG17)/Datos!BG17),(Tasas!E17-Datos!BG17)/Datos!BG17," - ")</f>
        <v>1.3360614914668971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0.17778716216216217</v>
      </c>
      <c r="E18" s="354">
        <f>IF(ISNUMBER(
   IF(D_I="SI",(Datos!J18-Datos!T18)/Datos!T18,(Datos!J18+Datos!AD18-(Datos!T18+Datos!AL18))/(Datos!T18+Datos!AL18))
     ),IF(D_I="SI",(Datos!J18-Datos!T18)/Datos!T18,(Datos!J18+Datos!AD18-(Datos!T18+Datos!AL18))/(Datos!T18+Datos!AL18))," - ")</f>
        <v>-0.14291615035109459</v>
      </c>
      <c r="F18" s="354">
        <f>IF(ISNUMBER(
   IF(D_I="SI",(Datos!K18-Datos!U18)/Datos!U18,(Datos!K18+Datos!AE18-(Datos!U18+Datos!AM18))/(Datos!U18+Datos!AM18))
     ),IF(D_I="SI",(Datos!K18-Datos!U18)/Datos!U18,(Datos!K18+Datos!AE18-(Datos!U18+Datos!AM18))/(Datos!U18+Datos!AM18))," - ")</f>
        <v>8.2687338501291993E-2</v>
      </c>
      <c r="G18" s="355">
        <f>IF(ISNUMBER(
   IF(D_I="SI",(Datos!L18-Datos!V18)/Datos!V18,(Datos!L18+Datos!AF18-(Datos!V18+Datos!AN18))/(Datos!V18+Datos!AN18))
     ),IF(D_I="SI",(Datos!L18-Datos!V18)/Datos!V18,(Datos!L18+Datos!AF18-(Datos!V18+Datos!AN18))/(Datos!V18+Datos!AN18))," - ")</f>
        <v>9.9613330878291287E-2</v>
      </c>
      <c r="H18" s="356">
        <f>IF(ISNUMBER((Datos!M18-Datos!W18)/Datos!W18),(Datos!M18-Datos!W18)/Datos!W18," - ")</f>
        <v>6.5326633165829151E-2</v>
      </c>
      <c r="I18" s="357">
        <f>IF(ISNUMBER((Tasas!C18-Datos!BE18)/Datos!BE18),(Tasas!C18-Datos!BE18)/Datos!BE18," - ")</f>
        <v>1.5633315154889648E-2</v>
      </c>
      <c r="J18" s="355">
        <f>IF(ISNUMBER((Tasas!D18-Datos!BF18)/Datos!BF18),(Tasas!D18-Datos!BF18)/Datos!BF18," - ")</f>
        <v>-1.6034828078339249E-2</v>
      </c>
      <c r="K18" s="358">
        <f>IF(ISNUMBER((Tasas!E18-Datos!BG18)/Datos!BG18),(Tasas!E18-Datos!BG18)/Datos!BG18," - ")</f>
        <v>-1.2362348325970917E-2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0.50317495073352314</v>
      </c>
      <c r="E19" s="363">
        <f>IF(ISNUMBER(
   IF(J_V="SI",(Datos!J19-Datos!T19)/Datos!T19,(Datos!J19+Datos!Z19-(Datos!T19+Datos!AH19))/(Datos!T19+Datos!AH19))
     ),IF(J_V="SI",(Datos!J19-Datos!T19)/Datos!T19,(Datos!J19+Datos!Z19-(Datos!T19+Datos!AH19))/(Datos!T19+Datos!AH19))," - ")</f>
        <v>-0.1993278722957362</v>
      </c>
      <c r="F19" s="363">
        <f>IF(ISNUMBER(
   IF(J_V="SI",(Datos!K19-Datos!U19)/Datos!U19,(Datos!K19+Datos!AA19-(Datos!U19+Datos!AI19))/(Datos!U19+Datos!AI19))
     ),IF(J_V="SI",(Datos!K19-Datos!U19)/Datos!U19,(Datos!K19+Datos!AA19-(Datos!U19+Datos!AI19))/(Datos!U19+Datos!AI19))," - ")</f>
        <v>0.26527050610820246</v>
      </c>
      <c r="G19" s="364">
        <f>IF(ISNUMBER(
   IF(J_V="SI",(Datos!L19-Datos!V19)/Datos!V19,(Datos!L19+Datos!AB19-(Datos!V19+Datos!AJ19))/(Datos!V19+Datos!AJ19))
     ),IF(J_V="SI",(Datos!L19-Datos!V19)/Datos!V19,(Datos!L19+Datos!AB19-(Datos!V19+Datos!AJ19))/(Datos!V19+Datos!AJ19))," - ")</f>
        <v>0.27662553601120154</v>
      </c>
      <c r="H19" s="365">
        <f>IF(ISNUMBER((Datos!M19-Datos!W19)/Datos!W19),(Datos!M19-Datos!W19)/Datos!W19," - ")</f>
        <v>8.1081081081081086E-2</v>
      </c>
      <c r="I19" s="362">
        <f>IF(ISNUMBER((Tasas!C19-Datos!BE19)/Datos!BE19),(Tasas!C19-Datos!BE19)/Datos!BE19," - ")</f>
        <v>8.9743891509221265E-3</v>
      </c>
      <c r="J19" s="363">
        <f>IF(ISNUMBER((Tasas!D19-Datos!BF19)/Datos!BF19),(Tasas!D19-Datos!BF19)/Datos!BF19," - ")</f>
        <v>-0.47659282941310799</v>
      </c>
      <c r="K19" s="364">
        <f>IF(ISNUMBER((Tasas!E19-Datos!BG19)/Datos!BG19),(Tasas!E19-Datos!BG19)/Datos!BG19," - ")</f>
        <v>-2.2145400851211316E-3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0.12843299034861197</v>
      </c>
      <c r="E21" s="278">
        <f t="shared" si="1"/>
        <v>1.0336424258682499</v>
      </c>
      <c r="F21" s="278">
        <f t="shared" si="1"/>
        <v>0.33985794332949198</v>
      </c>
      <c r="G21" s="279">
        <f t="shared" si="1"/>
        <v>0.21516706053269929</v>
      </c>
      <c r="H21" s="285">
        <f t="shared" si="1"/>
        <v>0.37178121400752917</v>
      </c>
      <c r="I21" s="277">
        <f t="shared" si="1"/>
        <v>0.91365795219223267</v>
      </c>
      <c r="J21" s="278">
        <f t="shared" si="1"/>
        <v>0.43074653175343486</v>
      </c>
      <c r="K21" s="279">
        <f t="shared" si="1"/>
        <v>0.57774613407180087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CCRIM3kZE0Y+Bk9B01DDsf8aPhvolUJh0YmAcceJzarD3xg0w3ENLUYIvWpVTQqE+SkmUQDK4wiZsNBcTKBdQ==" saltValue="+PbOxI6hfTfhDQKP8QDkN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